
<file path=[Content_Types].xml><?xml version="1.0" encoding="utf-8"?>
<Types xmlns="http://schemas.openxmlformats.org/package/2006/content-types">
  <Default Extension="bin" ContentType="application/vnd.openxmlformats-officedocument.spreadsheetml.printerSettings"/>
  <Default Extension="png" ContentType="image/png"/>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UNDOK\SeSE\Omkostningsdatabase2015\Materiale til høring\Esundhed\"/>
    </mc:Choice>
  </mc:AlternateContent>
  <bookViews>
    <workbookView xWindow="0" yWindow="0" windowWidth="28800" windowHeight="12435" activeTab="1"/>
  </bookViews>
  <sheets>
    <sheet name="Generelt" sheetId="5" r:id="rId1"/>
    <sheet name="DAGS" sheetId="1" r:id="rId2"/>
    <sheet name="DRG" sheetId="2" r:id="rId3"/>
    <sheet name="DRG0556" sheetId="4" r:id="rId4"/>
    <sheet name="DRG0559" sheetId="3" r:id="rId5"/>
    <sheet name="Bilag 0853" sheetId="6" r:id="rId6"/>
    <sheet name="PG10L" sheetId="8" r:id="rId7"/>
    <sheet name="PG13Q" sheetId="7" r:id="rId8"/>
    <sheet name="Trombvagt" sheetId="9" r:id="rId9"/>
    <sheet name="omkostningsoplysn. MDC05" sheetId="10" r:id="rId10"/>
    <sheet name="Øvrig drift MDC05 " sheetId="11" r:id="rId11"/>
    <sheet name="Stor MWL" sheetId="12" r:id="rId12"/>
    <sheet name="Lille MWL" sheetId="13" r:id="rId13"/>
    <sheet name="vaskulariserede lapper" sheetId="14" r:id="rId14"/>
    <sheet name="Aktivitet2013" sheetId="15" r:id="rId15"/>
    <sheet name="Basis jordemoderkons" sheetId="16" r:id="rId16"/>
    <sheet name="Udvidet jordemoderkons" sheetId="17" r:id="rId17"/>
    <sheet name="Akut jdm" sheetId="18" r:id="rId18"/>
    <sheet name="DRG0913" sheetId="19" r:id="rId19"/>
    <sheet name="DRG2628" sheetId="20" r:id="rId20"/>
    <sheet name="DRG2629" sheetId="21" r:id="rId21"/>
    <sheet name="DRG1116" sheetId="22" r:id="rId22"/>
    <sheet name="DRG1701" sheetId="23" r:id="rId23"/>
    <sheet name="DRG2501" sheetId="24" r:id="rId24"/>
    <sheet name="DRG2502" sheetId="29" r:id="rId25"/>
    <sheet name="DRG2605" sheetId="25" r:id="rId26"/>
    <sheet name="DRG2609" sheetId="26" r:id="rId27"/>
    <sheet name="DRG2644" sheetId="27" r:id="rId28"/>
    <sheet name="DRG2645" sheetId="28" r:id="rId29"/>
    <sheet name="DRG2701-2715" sheetId="30" r:id="rId30"/>
    <sheet name="DRG2302" sheetId="31" r:id="rId31"/>
    <sheet name="DAGS ST01B" sheetId="32" r:id="rId32"/>
    <sheet name="Robottakster" sheetId="33" r:id="rId33"/>
    <sheet name="DAGS PG13M" sheetId="34" r:id="rId34"/>
    <sheet name="DRG 1101" sheetId="35" r:id="rId35"/>
    <sheet name="DAGS DG30S" sheetId="36" r:id="rId36"/>
    <sheet name="tandbehandling" sheetId="37" r:id="rId37"/>
    <sheet name="DRG0113" sheetId="38" r:id="rId38"/>
    <sheet name="DRG0876" sheetId="39" r:id="rId39"/>
    <sheet name="DRG 2656" sheetId="40" r:id="rId40"/>
    <sheet name="DRG 2657" sheetId="41" r:id="rId41"/>
  </sheets>
  <externalReferences>
    <externalReference r:id="rId42"/>
    <externalReference r:id="rId43"/>
  </externalReferences>
  <definedNames>
    <definedName name="_xlnm._FilterDatabase" localSheetId="1" hidden="1">DAGS!$A$1:$M$63</definedName>
    <definedName name="_xlnm._FilterDatabase" localSheetId="2" hidden="1">DRG!$A$1:$M$144</definedName>
    <definedName name="_xlnm.Print_Titles" localSheetId="1">DAGS!$1:$1</definedName>
    <definedName name="_xlnm.Print_Titles" localSheetId="2">DRG!$1:$1</definedName>
  </definedNames>
  <calcPr calcId="152511"/>
</workbook>
</file>

<file path=xl/calcChain.xml><?xml version="1.0" encoding="utf-8"?>
<calcChain xmlns="http://schemas.openxmlformats.org/spreadsheetml/2006/main">
  <c r="H2" i="33" l="1"/>
  <c r="H19" i="33" l="1"/>
  <c r="H17" i="33"/>
  <c r="H13" i="33"/>
  <c r="H10" i="33"/>
  <c r="H8" i="33"/>
  <c r="H4" i="33"/>
  <c r="C29" i="16" l="1"/>
  <c r="C29" i="17"/>
  <c r="C30" i="17"/>
  <c r="M39" i="31" l="1"/>
  <c r="O37" i="31"/>
  <c r="O36" i="31"/>
  <c r="O35" i="31"/>
  <c r="O34" i="31"/>
  <c r="O33" i="31"/>
  <c r="O32" i="31"/>
  <c r="O31" i="31"/>
  <c r="O30" i="31"/>
  <c r="O29" i="31"/>
  <c r="O28" i="31"/>
  <c r="O27" i="31"/>
  <c r="O26" i="31"/>
  <c r="O25" i="31"/>
  <c r="O24" i="31"/>
  <c r="O23" i="31"/>
  <c r="O22" i="31"/>
  <c r="O21" i="31"/>
  <c r="O20" i="31"/>
  <c r="O19" i="31"/>
  <c r="O18" i="31"/>
  <c r="O17" i="31"/>
  <c r="O16" i="31"/>
  <c r="O15" i="31"/>
  <c r="O14" i="31"/>
  <c r="O13" i="31"/>
  <c r="O12" i="31"/>
  <c r="O11" i="31"/>
  <c r="O10" i="31"/>
  <c r="O9" i="31"/>
  <c r="O8" i="31"/>
  <c r="O7" i="31"/>
  <c r="O6" i="31"/>
  <c r="L16" i="25"/>
  <c r="M13" i="25"/>
  <c r="L13" i="25"/>
  <c r="M6" i="25"/>
  <c r="M17" i="25" s="1"/>
  <c r="M18" i="25" s="1"/>
  <c r="L6" i="25"/>
  <c r="L17" i="25" l="1"/>
  <c r="L18" i="25" s="1"/>
  <c r="L19" i="25" s="1"/>
  <c r="L20" i="25" s="1"/>
  <c r="O39" i="31"/>
  <c r="O8" i="22"/>
  <c r="Q8" i="22" s="1"/>
  <c r="N4" i="22"/>
  <c r="N3" i="22"/>
  <c r="O8" i="20"/>
  <c r="P8" i="20" s="1"/>
  <c r="N4" i="20"/>
  <c r="N3" i="20"/>
  <c r="F3" i="1" l="1"/>
  <c r="F7" i="1" l="1"/>
  <c r="F61" i="1" l="1"/>
  <c r="C33" i="18" l="1"/>
  <c r="C28" i="17"/>
  <c r="C25" i="17"/>
  <c r="C30" i="16"/>
  <c r="C28" i="16"/>
  <c r="C33" i="16" s="1"/>
  <c r="H76" i="15"/>
  <c r="H77" i="15" s="1"/>
  <c r="E76" i="15"/>
  <c r="G59" i="15"/>
  <c r="G60" i="15" s="1"/>
  <c r="T80" i="14"/>
  <c r="T77" i="14"/>
  <c r="T76" i="14"/>
  <c r="T75" i="14"/>
  <c r="T74" i="14"/>
  <c r="T73" i="14"/>
  <c r="T66" i="14"/>
  <c r="T63" i="14"/>
  <c r="T62" i="14"/>
  <c r="T61" i="14"/>
  <c r="T60" i="14"/>
  <c r="T59" i="14"/>
  <c r="T52" i="14"/>
  <c r="T49" i="14"/>
  <c r="T48" i="14"/>
  <c r="T47" i="14"/>
  <c r="T46" i="14"/>
  <c r="T45" i="14"/>
  <c r="H40" i="14"/>
  <c r="M40" i="14" s="1"/>
  <c r="T38" i="14"/>
  <c r="M38" i="14"/>
  <c r="M37" i="14"/>
  <c r="K36" i="14"/>
  <c r="T35" i="14"/>
  <c r="T34" i="14"/>
  <c r="T33" i="14"/>
  <c r="T32" i="14"/>
  <c r="J32" i="14"/>
  <c r="K32" i="14" s="1"/>
  <c r="T31" i="14"/>
  <c r="J31" i="14"/>
  <c r="K31" i="14" s="1"/>
  <c r="J30" i="14"/>
  <c r="K30" i="14" s="1"/>
  <c r="J29" i="14"/>
  <c r="K29" i="14" s="1"/>
  <c r="J28" i="14"/>
  <c r="K28" i="14" s="1"/>
  <c r="J27" i="14"/>
  <c r="K27" i="14" s="1"/>
  <c r="T24" i="14"/>
  <c r="T21" i="14"/>
  <c r="T20" i="14"/>
  <c r="T19" i="14"/>
  <c r="J19" i="14"/>
  <c r="T18" i="14"/>
  <c r="T17" i="14"/>
  <c r="N14" i="14"/>
  <c r="C39" i="13"/>
  <c r="C38" i="13"/>
  <c r="C37" i="13"/>
  <c r="C35" i="13"/>
  <c r="C34" i="13"/>
  <c r="C33" i="13"/>
  <c r="C27" i="13"/>
  <c r="D15" i="13"/>
  <c r="C8" i="13"/>
  <c r="C32" i="13" s="1"/>
  <c r="C7" i="13"/>
  <c r="C31" i="13" s="1"/>
  <c r="C6" i="13"/>
  <c r="C30" i="13" s="1"/>
  <c r="C39" i="12"/>
  <c r="C38" i="12"/>
  <c r="C37" i="12"/>
  <c r="C35" i="12"/>
  <c r="C34" i="12"/>
  <c r="C33" i="12"/>
  <c r="C27" i="12"/>
  <c r="D15" i="12"/>
  <c r="C8" i="12"/>
  <c r="C32" i="12" s="1"/>
  <c r="C7" i="12"/>
  <c r="C31" i="12" s="1"/>
  <c r="C6" i="12"/>
  <c r="C30" i="12" s="1"/>
  <c r="Q120" i="11"/>
  <c r="N120" i="11"/>
  <c r="L120" i="11"/>
  <c r="J120" i="11"/>
  <c r="H120" i="11"/>
  <c r="F120" i="11"/>
  <c r="D120" i="11"/>
  <c r="B120" i="11"/>
  <c r="O74" i="11"/>
  <c r="M74" i="11"/>
  <c r="J74" i="11"/>
  <c r="E74" i="11"/>
  <c r="K49" i="11"/>
  <c r="L41" i="11" s="1"/>
  <c r="H49" i="11"/>
  <c r="I41" i="11" s="1"/>
  <c r="C42" i="11"/>
  <c r="P42" i="11" s="1"/>
  <c r="F40" i="11"/>
  <c r="F39" i="11"/>
  <c r="F38" i="11"/>
  <c r="F37" i="11"/>
  <c r="F36" i="11"/>
  <c r="E21" i="11"/>
  <c r="F21" i="11" s="1"/>
  <c r="A88" i="10"/>
  <c r="C86" i="10"/>
  <c r="C82" i="10"/>
  <c r="C80" i="10"/>
  <c r="D78" i="10"/>
  <c r="C88" i="10" s="1"/>
  <c r="A70" i="10"/>
  <c r="C68" i="10"/>
  <c r="C64" i="10"/>
  <c r="C62" i="10"/>
  <c r="D60" i="10"/>
  <c r="C70" i="10" s="1"/>
  <c r="A52" i="10"/>
  <c r="C50" i="10"/>
  <c r="C46" i="10"/>
  <c r="C45" i="10"/>
  <c r="C44" i="10"/>
  <c r="D42" i="10"/>
  <c r="C52" i="10" s="1"/>
  <c r="A33" i="10"/>
  <c r="C31" i="10"/>
  <c r="C27" i="10"/>
  <c r="C26" i="10"/>
  <c r="C25" i="10"/>
  <c r="D23" i="10"/>
  <c r="C33" i="10" s="1"/>
  <c r="B7" i="10"/>
  <c r="C81" i="10" s="1"/>
  <c r="C10" i="9"/>
  <c r="T43" i="14" l="1"/>
  <c r="T51" i="14" s="1"/>
  <c r="T29" i="14"/>
  <c r="B122" i="11"/>
  <c r="B123" i="11"/>
  <c r="K33" i="14"/>
  <c r="T37" i="14"/>
  <c r="T39" i="14"/>
  <c r="L29" i="14" s="1"/>
  <c r="C63" i="10"/>
  <c r="C40" i="12"/>
  <c r="T57" i="14"/>
  <c r="T65" i="14" s="1"/>
  <c r="F26" i="11"/>
  <c r="F42" i="11" s="1"/>
  <c r="T15" i="14"/>
  <c r="T23" i="14" s="1"/>
  <c r="T71" i="14"/>
  <c r="T79" i="14" s="1"/>
  <c r="E76" i="11"/>
  <c r="E77" i="11" s="1"/>
  <c r="C33" i="17"/>
  <c r="C34" i="10"/>
  <c r="M29" i="14"/>
  <c r="T81" i="14"/>
  <c r="T53" i="14"/>
  <c r="L31" i="14" s="1"/>
  <c r="M31" i="14" s="1"/>
  <c r="C40" i="13"/>
  <c r="C41" i="12"/>
  <c r="C42" i="12" s="1"/>
  <c r="I26" i="11"/>
  <c r="I42" i="11" s="1"/>
  <c r="L26" i="11"/>
  <c r="L42" i="11" s="1"/>
  <c r="C71" i="10"/>
  <c r="C53" i="10"/>
  <c r="C89" i="10"/>
  <c r="F25" i="1"/>
  <c r="N42" i="11" l="1"/>
  <c r="T67" i="14"/>
  <c r="T25" i="14"/>
  <c r="L30" i="14" s="1"/>
  <c r="M30" i="14" s="1"/>
  <c r="L36" i="14"/>
  <c r="M36" i="14" s="1"/>
  <c r="L32" i="14"/>
  <c r="M32" i="14" s="1"/>
  <c r="C41" i="13"/>
  <c r="C42" i="13" s="1"/>
  <c r="D90" i="6"/>
  <c r="D89" i="6"/>
  <c r="D77" i="6"/>
  <c r="D76" i="6"/>
  <c r="D75" i="6"/>
  <c r="D74" i="6"/>
  <c r="D69" i="6"/>
  <c r="D68" i="6"/>
  <c r="D60" i="6"/>
  <c r="D57" i="6"/>
  <c r="D56" i="6"/>
  <c r="D54" i="6"/>
  <c r="D53" i="6"/>
  <c r="D52" i="6"/>
  <c r="D51" i="6"/>
  <c r="D50" i="6"/>
  <c r="D49" i="6"/>
  <c r="D48" i="6"/>
  <c r="D47" i="6"/>
  <c r="D46" i="6"/>
  <c r="D45" i="6"/>
  <c r="D44" i="6"/>
  <c r="D43" i="6"/>
  <c r="D42" i="6"/>
  <c r="D40" i="6"/>
  <c r="D39" i="6"/>
  <c r="D38" i="6"/>
  <c r="D36" i="6"/>
  <c r="D35" i="6"/>
  <c r="D34" i="6"/>
  <c r="D33" i="6"/>
  <c r="D32" i="6"/>
  <c r="D31" i="6"/>
  <c r="D30" i="6"/>
  <c r="D29" i="6"/>
  <c r="D28" i="6"/>
  <c r="D27" i="6"/>
  <c r="D26" i="6"/>
  <c r="D25" i="6"/>
  <c r="D24" i="6"/>
  <c r="D23" i="6"/>
  <c r="D22" i="6"/>
  <c r="D21" i="6"/>
  <c r="D20" i="6"/>
  <c r="D19" i="6"/>
  <c r="D18" i="6"/>
  <c r="D17" i="6"/>
  <c r="D16" i="6"/>
  <c r="D14" i="6"/>
  <c r="D13" i="6"/>
  <c r="D12" i="6"/>
  <c r="D11" i="6"/>
  <c r="D95" i="6" l="1"/>
  <c r="D97" i="6" s="1"/>
  <c r="L28" i="14"/>
  <c r="M28" i="14" s="1"/>
  <c r="L27" i="14"/>
  <c r="M27" i="14" s="1"/>
  <c r="M33" i="14"/>
  <c r="M34" i="14" s="1"/>
  <c r="M35" i="14" s="1"/>
  <c r="E30" i="4"/>
  <c r="B30" i="4"/>
  <c r="E29" i="4"/>
  <c r="B24" i="4"/>
  <c r="E24" i="4" s="1"/>
  <c r="E23" i="4"/>
  <c r="B18" i="4"/>
  <c r="E18" i="4" s="1"/>
  <c r="E19" i="4" s="1"/>
  <c r="E17" i="4"/>
  <c r="B12" i="4"/>
  <c r="E12" i="4" s="1"/>
  <c r="E13" i="4" s="1"/>
  <c r="E11" i="4"/>
  <c r="B6" i="4"/>
  <c r="E6" i="4" s="1"/>
  <c r="E5" i="4"/>
  <c r="B20" i="3"/>
  <c r="E20" i="3" s="1"/>
  <c r="E19" i="3"/>
  <c r="B14" i="3"/>
  <c r="E14" i="3" s="1"/>
  <c r="E13" i="3"/>
  <c r="B8" i="3"/>
  <c r="E8" i="3" s="1"/>
  <c r="E7" i="3"/>
  <c r="B6" i="3"/>
  <c r="E6" i="3" s="1"/>
  <c r="E5" i="3"/>
  <c r="E7" i="4" l="1"/>
  <c r="E31" i="4"/>
  <c r="E15" i="3"/>
  <c r="E25" i="4"/>
  <c r="C37" i="4" s="1"/>
  <c r="E21" i="3"/>
  <c r="M39" i="14"/>
  <c r="M41" i="14" s="1"/>
  <c r="C25" i="14" s="1"/>
  <c r="C33" i="14" s="1"/>
  <c r="E9" i="3"/>
  <c r="C27" i="3" s="1"/>
</calcChain>
</file>

<file path=xl/sharedStrings.xml><?xml version="1.0" encoding="utf-8"?>
<sst xmlns="http://schemas.openxmlformats.org/spreadsheetml/2006/main" count="4638" uniqueCount="1872">
  <si>
    <t>Gruppenavn</t>
  </si>
  <si>
    <t>Takst 2014</t>
  </si>
  <si>
    <t>ID</t>
  </si>
  <si>
    <t>Løbenr</t>
  </si>
  <si>
    <t>Henvendelse fra</t>
  </si>
  <si>
    <t>Indsigelse</t>
  </si>
  <si>
    <t>Forslag til ændringer</t>
  </si>
  <si>
    <t>SSI's kommentar</t>
  </si>
  <si>
    <t>DRG-udvalgsmødet</t>
  </si>
  <si>
    <t>Status</t>
  </si>
  <si>
    <t>Takst 2015</t>
  </si>
  <si>
    <t>DAGS15</t>
  </si>
  <si>
    <t>DAGS14</t>
  </si>
  <si>
    <t>DRG15</t>
  </si>
  <si>
    <t>DRG14</t>
  </si>
  <si>
    <t>A</t>
  </si>
  <si>
    <t>1302, 1304, 1308, 1310, 1313</t>
  </si>
  <si>
    <t>Forskellige former for operationer med robot</t>
  </si>
  <si>
    <t xml:space="preserve">Generelt er der fra DSOG tilfredshed med specialets DAGS/DRG-relaterede koder for 2015. Der synes ikke at være urimeligheder i de nye DRG takster. 
Dog synes der på DRG taksterne for gruppenavnet ” Forskellige former for operationer med robot” at være en endda særdeles stor diskrepans mellem de faktiske udgifter og den nye DRG værdi der er reduceret væsentlig for 2015. 
Det er vores opfattelse at omkostningsdatabasen ikke er komplet i forhold til registrering af især implantatomkostninger. Vi finder at der her er en betydelig merudgift der i relation til selve operationen ikke tages højde for. Særligt synes det som om at omkostningsdatabasen for Odense ikke opfanger de særlige robotrelaterede omkostninger. </t>
  </si>
  <si>
    <t>Dansk Selskab for Obstetrik og Gynækologi</t>
  </si>
  <si>
    <t>Taksten for de pågældende grupper skal og bør derfor genovervejes.</t>
  </si>
  <si>
    <t>B</t>
  </si>
  <si>
    <t xml:space="preserve">Epilepsi, udredning, mentalt retarderet, m. fast vagt
Epilepsi, udredning, mentalt retarderet
Epilepsi, udredning, m. EEG-døgnmonitorering 
Epilepsi, udredning, m. central overvågning 
Epilepsi eller dissociative kramper, udredning og behandling
Epilepsikirurgi, udredning eller efterbehandling
Epilepsikirurgi, kontrol
</t>
  </si>
  <si>
    <t>Region Syddanmark - Diane Pedersen</t>
  </si>
  <si>
    <t>0120</t>
  </si>
  <si>
    <t>Trombolysebehandling af akut apopleksi</t>
  </si>
  <si>
    <t>0301</t>
  </si>
  <si>
    <t>Indsættelse af cochleart implantat, dobbeltsidigt</t>
  </si>
  <si>
    <t>Det vurderes, at såfremt taksten beregnes på baggrund af OUH i 2012 og 2013 samt Arhus Universitetshospital i 2013 vil den være på et fornuftigt niveau. Det er også disse sygehuse der har implantatomkostninger svarende til 2 gange et cochleart implantat.</t>
  </si>
  <si>
    <t>0401</t>
  </si>
  <si>
    <t>Særligt store thoraxoperationer</t>
  </si>
  <si>
    <t>Det bør overvejes om takstfastsættelsen bør valideres af det kliniske selskab eller andre taget i betragtning af den store forskel der er mellem den beregnede og den satte takst. Det kunne jo være, at den satte takst er for høj.</t>
  </si>
  <si>
    <t>0402</t>
  </si>
  <si>
    <t>Større thoraxoperationer</t>
  </si>
  <si>
    <t>0504</t>
  </si>
  <si>
    <t>Hjerteoperation med implantation af ICD</t>
  </si>
  <si>
    <t>Nogle sygehuse har i omkostningsdatabasen meget lave implantatomkostninger (herunder OUH). Det foreslås, at sygehuse med implantatomkostninger under 90.000 kr. bør udeholdes af beregningen. Region Syddanmark har tidligere fremsendt en beregning vedr. ICD hvor implantatomkostningerne var angivet til ca. 96.000 kr.</t>
  </si>
  <si>
    <t>0556</t>
  </si>
  <si>
    <t>0555</t>
  </si>
  <si>
    <t>Hjertearytmi og synkope, m. særlig ablation og computermapping</t>
  </si>
  <si>
    <t xml:space="preserve">Der er markant spredning i gruppen. Især OUH skiller sig ud. OUH har i forbindelse med Region Syddanmarks interne afregning beregnet den marginale omkostning til ca. 49.000 kr. Beregningen fremgår af særskilt regneark </t>
  </si>
  <si>
    <t>0559</t>
  </si>
  <si>
    <t>0558</t>
  </si>
  <si>
    <t>Hjertearytmi og synkope, proceduregrp. A</t>
  </si>
  <si>
    <t xml:space="preserve">Når man sammenholder takstberegningsgrundlaget og omkostningsdatabasen (for de stationære patienter) ses en meget stor forskel i gns. priserne. Der er derfor noget der tyder på, at de ambulante er væsentligt billigere end de stationære og at gruppen derfor ikke er ressourcehomogen. Det bør derfor overvejes hvorvidt gruppen bør splittes så ressourcehomogeniteten bevares. Da der er væsentlig ambulant aktivitet i gruppen har den vel tjent sit formål mhp. at få omlagt fra stationært til ambulant.
OUH har i forbindelse med Region Syddanmarks interne afregning beregnet den marginale omkostning for de stationære patienter til ca.  14.500 kr. Beregningen fremgår af særskilt regneark </t>
  </si>
  <si>
    <t>0514</t>
  </si>
  <si>
    <t>Implantation af ICD med udvidelse af koronararterie</t>
  </si>
  <si>
    <t>Nogle sygehuse har i omkostningsdatabasen meget lave implantatomkostninger. Det foreslås, at sygehuse med implantatomkostninger under 90.000 kr. bør udeholdes af beregningen. Region Syddanmark har tidligere fremsendt en beregning vedr. ICD hvor implantatomkostningerne var angivet til ca. 96.000 kr.
Derudover undrer det, at Århus Universitetshospital, Skejby udeholdes af beregningen - der er implantatomkostninger for såvel 2012 (særydelser) og 2013 og en omkostningsstruktur der ikke afviger markant fra de andre sygehuse.</t>
  </si>
  <si>
    <t>0515</t>
  </si>
  <si>
    <t>Implantation af ICD</t>
  </si>
  <si>
    <t>0876</t>
  </si>
  <si>
    <t>Slidgigt i hofte eller knæ</t>
  </si>
  <si>
    <t>Det undrer, at taksten sættes når den beregnede takst er på ca. 10.000 kr. 
Andre takster med væsentlig større procentvise ændringer beregnes. 
Umiddelbart at niveauet ikke ændret markant i de to år i takstberegningsgrundlaget.</t>
  </si>
  <si>
    <t>0909
0910</t>
  </si>
  <si>
    <t xml:space="preserve">Sekundær rekonstruktion af bryst med protese eller transplantat, dobbelt
Sekundær rekonstruktion af bryst med protese eller transplantat, enkelt
</t>
  </si>
  <si>
    <t>50.262
64.208</t>
  </si>
  <si>
    <t>68.218
57.287</t>
  </si>
  <si>
    <t>Med de nye takster er taksten for en dobbelt-operation billigere end en enkelt. Dette hænger selvfølgelig ikke sammen med virkeligheden og er et godt eksempel på hvad der sker når den ene takst sættes og blindt fremskrives med 12 pct. (DRG0910).
Grupperne bør være på listen over grupper/takster med indbyrdes afhængighed.</t>
  </si>
  <si>
    <t>0913</t>
  </si>
  <si>
    <t>Body lift efter stort vægttab</t>
  </si>
  <si>
    <t>I forbindelse med 2012 grupperingen blev DRG-gruppen 0913 oprettet. Taksten blev fastlagt på baggrund af en grundig gennemgang foretaget af specialerådet og i samarbejde med SSI. 
Der anmodes derfor om,  at man fortsat anvender dette arbejde ved fastlæggelse af taksten for 2015, da det er klinikernes vurdering at det er mere retvisende. Det kan oplyses at plastikkirurg Andreas Printzlau, "Bodylift center", kbh. har et minitiøst udarbejdet excel ark med de specifikke ressourcetræk og vurderinger, hvilket oprindeligt dannede basis for fastlæggelse af DRG-værdien.
Endvidere kan oplyses, at der er tale om truncal circumferentielt kirugi med peroperativ vending af patienten med koden KZYC30 ("peroperativ vending af patienten i generel anæstesi"), og at det er en operation, hvor to kirurger, oftest en reservelæge og altid en speciallæge, samopererer een pt. i 4-5 timer i GA, oftest kombineret med fedtsugning. 
I omkostningsdatabasen er der ikke umiddelbart noget der springer i øjnene og det bør derfor overvejes hvorvidt det er op-vægtene der ikke fanger omfanget af operationen korrekt.                  
Region Syddanmark er dog heller ikke interesseret i en fremskrivning på 12 pct. idet dette heller ikke afspejler udviklingen.</t>
  </si>
  <si>
    <t>1004</t>
  </si>
  <si>
    <t>Operationer på adipositas</t>
  </si>
  <si>
    <t xml:space="preserve">Taksten har hidtil været sat, hvorimod den for 2015 er beregnet på baggrund af omkostningsdatabasen. I omkostningsdatabasen er der ikke umiddelbart noget der springer i øjnene og det bør derfor overvejes hvorvidt det er op-vægtene der ikke fanger omfanget af operationen korrekt.        </t>
  </si>
  <si>
    <t>1017</t>
  </si>
  <si>
    <t>Medicinske endokrine sygdomme, ernærings- og stofskiftesygdomme med dialyse</t>
  </si>
  <si>
    <t>Det undrer, at kun Rigshospitalet og kun i 2012 har omkostninger under dialyse. Er der noget der ikke bliver mappet korrekt i forhold til fordelingsregnskaberne?</t>
  </si>
  <si>
    <t>1427</t>
  </si>
  <si>
    <t>1426</t>
  </si>
  <si>
    <t>Igangsat vaginal fødsel, m. epidural, førstegangsfødende</t>
  </si>
  <si>
    <t>Det undrer, at taksten sættes når den beregnede takst ikke er væsentligt anderledes set ud fra den betragning, at andre takster med væsentlig større ændringer beregnes. 
Dertil kommer, at trimpunktet er faldet hvilket vel også bør resultere i et takstfald.</t>
  </si>
  <si>
    <t>1428</t>
  </si>
  <si>
    <t>Igangsat vaginal fødsel, m. epidural, flergangsfødende</t>
  </si>
  <si>
    <t>1902</t>
  </si>
  <si>
    <t>Epilepsi eller psykogene non-epileptiske anfald, m. gruppeterapi</t>
  </si>
  <si>
    <t>Det er problematisk, at kun ét sygehus medvirker til beregning af taksten især taget i betragtning af at det vel i princippet er sygehuset selv der har foreslået taksterne og takstbuddene og at disse ligger væsentligt fra den beregnede takst</t>
  </si>
  <si>
    <t>2113</t>
  </si>
  <si>
    <t>Replantationer</t>
  </si>
  <si>
    <t xml:space="preserve">Ortopædkirurgisk afdeling på OUH vurderer at der bør være en sammenhæng/afhængighed ml. 2113 og 0812 (Amputation, ekskl. fingre og tæer). 
2113 (Replantationer) er generelt mere kompliceret og omkostningstung end 0812.
Som minimu bør taksten ligge i niveau med 0812 (man kan så diskutere om taksten for 0812 pt. er for høj). 
DRG2113 blev i sin tid oprettet med en takst på ca. 78.000 kr. hvilket nok er et fornuftigt niveau.
</t>
  </si>
  <si>
    <t>2650</t>
  </si>
  <si>
    <t>2649</t>
  </si>
  <si>
    <t>Rekonstruktion med frie vaskulariserede lapper</t>
  </si>
  <si>
    <r>
      <t>Det er problematisk, at afhægigheden til 2649</t>
    </r>
    <r>
      <rPr>
        <vertAlign val="subscript"/>
        <sz val="11"/>
        <color theme="1"/>
        <rFont val="Calibri"/>
        <family val="2"/>
        <scheme val="minor"/>
      </rPr>
      <t>DRG2015</t>
    </r>
    <r>
      <rPr>
        <sz val="11"/>
        <color theme="1"/>
        <rFont val="Calibri"/>
        <family val="2"/>
        <scheme val="minor"/>
      </rPr>
      <t xml:space="preserve"> ikke overholdes. 
Det bør undersøges hvor meget forskel der bør være på taksterne og hvilket niveau de bør ligge på.</t>
    </r>
  </si>
  <si>
    <t>2652</t>
  </si>
  <si>
    <t>2651</t>
  </si>
  <si>
    <t>Respiratorbehandling ved langvarig kronisk respirationsinsufficiens</t>
  </si>
  <si>
    <t>Sygehuse uden sengeomkostninger bør udeholdes af beregningen</t>
  </si>
  <si>
    <t>2702
2706</t>
  </si>
  <si>
    <t>Strålebehandling, kompleks, 3-4 fraktioner
Strålebehandling, konventionel, 3-4 fraktioner</t>
  </si>
  <si>
    <t>33.887
66.644</t>
  </si>
  <si>
    <t>31.062
23.534</t>
  </si>
  <si>
    <t>Den konvetionelle er i takst 2015 blevet dyrere end den komplekse. Der bør være et indbyrdes afhængighedsforhold der sikrer, at taksten for 2702 er højere end 2706</t>
  </si>
  <si>
    <t>2713
2715</t>
  </si>
  <si>
    <t>Stråleplanlægning, kompleks
Stråleplanlægning, konventionel</t>
  </si>
  <si>
    <t>8.614
8.561</t>
  </si>
  <si>
    <t>9.030
7.495</t>
  </si>
  <si>
    <t>Den konvetionelle er i takst 2015 blevet dyrere end den komplekse. Der bør være et indbyrdes afhængighedsforhold der sikrer, at taksten for 2713 er højere end 2715</t>
  </si>
  <si>
    <t>2719</t>
  </si>
  <si>
    <t>Kemoterapi, kompleks, med strålebehandling (ekskl. stereotaksi)</t>
  </si>
  <si>
    <t>Der er noget der tyder på, at gruppen er ret uhomogen. Der er stor forskel på den gns. værdi der fremgår af omkostningsdatabasen for de indlagte og så den gennemsnitspris der fremgår af takstbregningsgrundlaget.
Der er derudover nogle sygehuse der ikke har medicinudgifter med. Dette bør vel være et minimumskrav for at kunne indgå i beregningen. OUH har beregnet en gns. medicinudgift pr. besøg til ca. 1.930 kr. (OUH har i 2013 ingen indlæggelser i denne gruppe).
Derudover bør der være et indbyrdes afhængighedsforhold til taksten for 2720.</t>
  </si>
  <si>
    <t>2722</t>
  </si>
  <si>
    <t>Kemoterapi, basis, med strålebehandling, 1-2 fraktioner (ekskl. stereotaksi)</t>
  </si>
  <si>
    <r>
      <t>Der er noget der tyder på, at gruppen er ret uhomogen. Der er stor forskel på den gns. værdi der fremgår af omkostningsdatabasen for de indlagte og så den gennemsnitspris der fremgår af takstbregningsgrundlaget.
Der er derudover nogle sygehuse der ikke har medicinudgifter med. Dette bør vel være et minimumskrav for at kunne indgå i beregningen. OUH har beregnet en gns. medicinudgift pr. besøg til ca. 1.400 kr. og pr. indlæggelse til ca. 3.900 kr.
Deruover bør der være et indbyrdes afhængighedsforhold til taksten for 2724</t>
    </r>
    <r>
      <rPr>
        <vertAlign val="subscript"/>
        <sz val="11"/>
        <color theme="1"/>
        <rFont val="Calibri"/>
        <family val="2"/>
        <scheme val="minor"/>
      </rPr>
      <t>DRG2015</t>
    </r>
  </si>
  <si>
    <t>0108
0109
0110
0111
0112
0131
0132</t>
  </si>
  <si>
    <t xml:space="preserve">0108
0109
0110
0111
0112
</t>
  </si>
  <si>
    <t xml:space="preserve">197.348
171.950
196.093
144.344
134.071
65.083   
74.508   
</t>
  </si>
  <si>
    <t xml:space="preserve">155.660
155.660
61.482
61.482
61.482
18.526 
20.728 
</t>
  </si>
  <si>
    <t>Generelt</t>
  </si>
  <si>
    <t>-</t>
  </si>
  <si>
    <t>Der er i høringsmaterialet gjort meget ud af at sikre, at vi har fået så mange oplysninger som muligt. Der er dog stadig forbedringspotentialer: 
- når taksten er sat ud fra et bud fra eks. klinisk selskab ville det være ønskeligt, at bud såvel som "budår" fremgik
- i materialet vedr. satte DAGS-takster vil det være ønskeligt, at den beregnede takst også fremgik (som den gør for DRG-taksterne)
Derudover vil det være ønskeligt, at man i omkostningsdatabasens prædefinerede tabeller får mulighed får at se de ambulante observationer der indgår i gråzonetaksterne. pt. er det kun muligt at se de stationære observationer med mindre man skal dykke ned i hele omkostningsdatabasens datamateriale.</t>
  </si>
  <si>
    <t>Kardiologi</t>
  </si>
  <si>
    <r>
      <rPr>
        <b/>
        <sz val="11"/>
        <color theme="1"/>
        <rFont val="Times New Roman"/>
        <family val="1"/>
      </rPr>
      <t>Kardiologi</t>
    </r>
    <r>
      <rPr>
        <sz val="11"/>
        <color theme="1"/>
        <rFont val="Times New Roman"/>
        <family val="1"/>
      </rPr>
      <t xml:space="preserve">
Det er problematisk, at der er så store udsving på det kardiologiske område. 
Endnu mere problematisk er det, at såfremt man vælger ikke at benytte de beregnede takster, fremskrives de eksisterende takster med 12 pct.
Region Syddanmark har fremsendt forslag til korrektion i forbindelse med ICD'erne, men det bør overvejes
hvorvidt der bør være andre mekanismer der kommer i spil når der er så store ændringer (evt. udsvingsbånd).
Til beregningen i 2012 blev der sat fokus på det kardiologiske område netop med henblik på at etablere bånd der sikrer, at der som minimum
var dækning af implantatomkostningerne. 
Det kan derfor undre, at taksterne er så lave at implantatomkostningerne kun lige dækkes.</t>
    </r>
  </si>
  <si>
    <t>Arbejds - og miljomedicin</t>
  </si>
  <si>
    <r>
      <rPr>
        <b/>
        <sz val="11"/>
        <color theme="1"/>
        <rFont val="Times New Roman"/>
        <family val="1"/>
      </rPr>
      <t>Arbejds- og Miljømedicin</t>
    </r>
    <r>
      <rPr>
        <sz val="11"/>
        <color theme="1"/>
        <rFont val="Times New Roman"/>
        <family val="1"/>
      </rPr>
      <t xml:space="preserve">
Der er tale om en halvering af taksternes størrelse, hvilket vurderes at være en voldsom ændring. Omkostningsdatabasen understøtter dog at taksterne skal falde.
Det bør overvejes om der bør være fokus på området til næste takstberegning idet området stort set altid falder når taksterne beregnes hvorefter taksterne sættes,
hvilket nok heller ikke er korrekt.
Region Syddanmark er bekendt med at selskabet ikke vurderer, at der er sket væsentlige ændringer i aktivitet/casemix ej heller økonomien som skulle kunne forklare
et så markant takstfald.</t>
    </r>
  </si>
  <si>
    <t xml:space="preserve"> Det bør overvejes om ikke området snart bør prioriteres mhp. at få retvisende takster på området</t>
  </si>
  <si>
    <t>Genoptræning</t>
  </si>
  <si>
    <r>
      <rPr>
        <b/>
        <sz val="11"/>
        <color theme="1"/>
        <rFont val="Times New Roman"/>
        <family val="1"/>
      </rPr>
      <t xml:space="preserve">Genoptræning
</t>
    </r>
    <r>
      <rPr>
        <sz val="11"/>
        <color theme="1"/>
        <rFont val="Times New Roman"/>
        <family val="1"/>
      </rPr>
      <t>Det er efterhånden ved at være problematisk, at genptræningstaksterne pl-fremskrives.</t>
    </r>
  </si>
  <si>
    <r>
      <rPr>
        <b/>
        <sz val="11"/>
        <color theme="1"/>
        <rFont val="Times New Roman"/>
        <family val="1"/>
      </rPr>
      <t>Fremskrivningsprocenter</t>
    </r>
    <r>
      <rPr>
        <sz val="11"/>
        <color theme="1"/>
        <rFont val="Times New Roman"/>
        <family val="1"/>
      </rPr>
      <t xml:space="preserve">
Det er bekymrende, at alle satte takster på det stationære område blindt fremskrives med 12 pct. hvorimod det ambulante område kun fremskrives med under 1 pct. </t>
    </r>
  </si>
  <si>
    <t>Den udligning der laves ml. det stationære og ambulante område bør muligvis have et gennemsyn, da der næppe er så store forskelle rent prisudviklingsmæssigt.</t>
  </si>
  <si>
    <t>Fremskrivning - generelt</t>
  </si>
  <si>
    <r>
      <t xml:space="preserve">OUH's </t>
    </r>
    <r>
      <rPr>
        <b/>
        <u/>
        <sz val="14"/>
        <color theme="1"/>
        <rFont val="Calibri"/>
        <family val="2"/>
        <scheme val="minor"/>
      </rPr>
      <t>marginale</t>
    </r>
    <r>
      <rPr>
        <sz val="14"/>
        <color theme="1"/>
        <rFont val="Calibri"/>
        <family val="2"/>
        <scheme val="minor"/>
      </rPr>
      <t xml:space="preserve"> omkostningsberegning </t>
    </r>
  </si>
  <si>
    <t>Ablation</t>
  </si>
  <si>
    <t>Tid (timer)</t>
  </si>
  <si>
    <t>Pris</t>
  </si>
  <si>
    <t>Andel*</t>
  </si>
  <si>
    <t>I alt</t>
  </si>
  <si>
    <t>Læge afd. B</t>
  </si>
  <si>
    <t>Sygeplejerske afd. B</t>
  </si>
  <si>
    <t>Læge anæstesi</t>
  </si>
  <si>
    <t>Sygeplejerske anæstesi</t>
  </si>
  <si>
    <t>ELFYS</t>
  </si>
  <si>
    <t>Andel</t>
  </si>
  <si>
    <t>KAG</t>
  </si>
  <si>
    <t>Sengedagsomkostninger</t>
  </si>
  <si>
    <t>Kliniske serviceafdelinger</t>
  </si>
  <si>
    <t>Materialer</t>
  </si>
  <si>
    <t>Samlet marginal omkostning</t>
  </si>
  <si>
    <t>* Angiver hvor stor en andel af patienterne der får den pågældende ydelse</t>
  </si>
  <si>
    <t>Hj.kat.</t>
  </si>
  <si>
    <t>Biopsi</t>
  </si>
  <si>
    <t>Reveal</t>
  </si>
  <si>
    <t>Se link til beregning</t>
  </si>
  <si>
    <t>Det er problematisk, at kun ét sygehus medvirker til beregning af taksten især taget i betragtning af at det vel i princippet er sygehuset selv der har foreslået taksterne og takstbuddene og at disse ligger væsentligt fra den beregnede takst.</t>
  </si>
  <si>
    <t>Grupperne bør ses i sammenhæng med 2654DRG2015 og 2655DRG2015</t>
  </si>
  <si>
    <t xml:space="preserve">Region Syddanmark har tidligere (til takst 2011) fremsendt en beregning for denne gruppe med et omkostningsniveau på omkring 55.000 kr. 
Af beregningen fremgår det, at der som minimum forventets et medicinforbrug på 9-10.000 kr. 
Af omkostningsdatabasen fremgår stort set ingen udgifter til medicin. Noget tyder på, at denne post ikke bliver fordelt korrekt i fordelingsregnskaberne. </t>
  </si>
  <si>
    <t>PG01M</t>
  </si>
  <si>
    <t>Excision og biopsi, ukompliceret</t>
  </si>
  <si>
    <t>SSI har sat taksten med begrundelsen, at der er stor spredning i gruppen. Det vurderes herfra, at udholdes sygehuse med markant afvigende gns.omkostninger (som eks. Rigshospitalet i 2012) er omkostningerne stabile over år og taksten kan derfor godt beregnes.</t>
  </si>
  <si>
    <t>PG05A</t>
  </si>
  <si>
    <t>Indsættelse af metalstents og kapselenteroskopi</t>
  </si>
  <si>
    <t>Der er en del sygehuse som ikke har implantatomkostninger. Det bør overvejes om dette ikke bør være et krav for at indgå i beregningen.</t>
  </si>
  <si>
    <t>PG10K</t>
  </si>
  <si>
    <t>Cochleart implantat</t>
  </si>
  <si>
    <t>SSI har sat taksten med begrundelsen, at der ikke er implantatomkostninger.
I Visual fremgår tydeligt, at der er tale om en gruppe til kontrol/indstilling hvorfor der ikke umiddelbart bør være implantatomkostninger.
Det anbefales at taksten forsøges beregnet og at gruppen navngives "Kontrol af Cochleart implantat"</t>
  </si>
  <si>
    <t>PG13M</t>
  </si>
  <si>
    <t>PG13L</t>
  </si>
  <si>
    <t>Anlæggelse af peritonaldialysekateter</t>
  </si>
  <si>
    <t>Markante forskelle i omkostningsdatabasen. Afhængig af udfaldet af sygehusenes validering bør DRG-udvalget tage stilling til hvorvidt taksten skal beregnes eller sættes.</t>
  </si>
  <si>
    <t>PG15A</t>
  </si>
  <si>
    <t>Arbejdsmedicin grp. 1</t>
  </si>
  <si>
    <t>Af Takstberegningsgrundlaget ses en gns.pris på ca. 7.700 kr. Af høringsmaterialet fremgår, at det ambulante område er justeret med en faktor 0,999.
For at taksten i omkostningsdatabasen skal være den som SSI har beregnet, må der justeres med en faktor 0,9 - er der sket en beregningsfejl?</t>
  </si>
  <si>
    <t>PG15B</t>
  </si>
  <si>
    <t>Arbejdsmedicin grp. 2</t>
  </si>
  <si>
    <t>Af Takstberegningsgrundlaget ses en gns.pris på ca. 8.000 kr. Af høringsmaterialet fremgår, at det ambulante område er justeret med en faktor 0,999.
For at taksten i omkostningsdatabasen skal være den som SSI har beregnet, må der justeres med en faktor 0,9 - er der sket en beregningsfejl?</t>
  </si>
  <si>
    <t>Takst inkonsistens i relaterede grupper</t>
  </si>
  <si>
    <t>Generelle kommentarer til omkostnings-databasen 2012 for AUH</t>
  </si>
  <si>
    <t>Overordnet set undrer AUH sig over, den metode der er anvendt i forbindelse med afvejningen af, hvilke observationer/hospitaler der skal udeholdes af takstberegningen. Det virker meget tilfældigt. AUH undrer sig over, at vi er pillet ud i en del grupper, hvor vores omkostninger  ikke er afvigende fra de øvrige hospitaler, og at andre hospitaler, som afviger meget ikke er pillet ud (jf. kommentarerne for MDC05).
Endvidere undrer vi os over, at der er en del takster, som er beregnet på et meget få antal observationer (jf. f.eks. PG10A).
SSI har må have valideret grundlaget på alle de takster der beregnes, men vi synes ikke, at denne validering er helt stringent og konsekvent.</t>
  </si>
  <si>
    <t>AUH undrer sig over, at de stationære takster som sættes samtidig fremskrives med 12%. En mekanisk fremskrivning på 12% betyder, at nogle DRG-grupper stiger betragteligt alene som følge af denne fremskrivning.</t>
  </si>
  <si>
    <t>Taksthøringsperioden er ganske kort, og det kan ikke forventes, at hospitalerne kan gennemgå samtlige takster og ej heller indhente detaljeret information til underbygning/omkostningsberegning af alle de takster som kommenteres.</t>
  </si>
  <si>
    <t>HE Midt kan konstatere, at skift af takstsystem endnu en gang medfører et markant fald i værdien af hospitalsenhedens aktiviteter. Skiftet fra 2014 til 2015 medfører et fald på 2,1 pct. for den stationære aktivitet svarende til 36,3 mio. kr. Den ambulante aktivitet har et fald på 2,3 pct. svarende til 21,6 mio. kr. Samlet et fald i værdien af aktiviteterne på 2,1 pct. svarende til 57,9 mio. kr. En gennemgang af 2015-taksterne viser, at faldet især vedrører specialer som neurologi, reumatologi, onkologi og kardiologi. Hertil kommer fald indenfor thoraxkirurgi og urologi.
Indenfor MDC 26 er der markante fald i taksterne med store konsekvenser for HE Midt.</t>
  </si>
  <si>
    <t>Selvom der er luet en del ud i paradokset fra 2014-høringen, hvor en "mindre syg" patient afregnes højere end en "mere syg" patient, så er der fortsat nogle områder, hvor der mangler logik i sammenhængen imellem tyngden og de tilhørende takster (jf. strålebehandlingsgrupperng 2701-2708)</t>
  </si>
  <si>
    <t>Vi kan på AUH ikke helt genenmskue, hvordan aktiviteten og økonomien kobles sammen for de forskellige sygehuskoder i 2012 omkostningsdatabasen. Vi har kun lavet ét fordelingsregnskab (for sygehuskode 6620), så vi er lidt usikre på, hvordan aktiviteten for sygehuskoderne 7003, 7004 og 7026 kobles sammen med fordelingsregskabet??
Vi mener, at aktiviteten for sygehuskoderne 7003, 7004 og 7026 burde slås sammen med sygehuskode 6620. Det undrer os lidt, at der indenfor samme DRG-gruppe i 2012 omkostningsdatabasen er forskellige gennemsnitstakster på f.eks. sygehuskode 7026 og 6620. De burde være det samme.
Måske burde det således overvejes helt at udlade 2012 for AUH i takstberegningsgrundlaget, og i stedet lade 2013 tælle dobbelt, da vi ikke helt stoler på data for 2012.</t>
  </si>
  <si>
    <t>C</t>
  </si>
  <si>
    <t>Aarhus Universitetshospital, Region Midtjylland</t>
  </si>
  <si>
    <t>Hospitalsenhed Midt, Region Midtjylland</t>
  </si>
  <si>
    <t>Hospitalsenheden Vest, Region Midtjylland</t>
  </si>
  <si>
    <t>Aarhus Universitetshospital</t>
  </si>
  <si>
    <t>MDC05</t>
  </si>
  <si>
    <t>Generelt er taksterne i MDC05 faldet markant fra 2014 til 2015. I flg. SSI's konsekvensberegninger svarer det til en reduktion i DRG-værdien for indlagte patienter i MDC05 på godt en mia. kr. eller 18 pct. På baggrund af faldende implantatudgifter og produktivitetsforbedringer er et fald i taksterne nok forventeligt, men en reduktion på 18 pct. må siges at være i overkanten.</t>
  </si>
  <si>
    <t>I en række DRG-grupper i MDC05 er AUH udeladt af den del af takstberegningsgrundlaget, som vedrører regnskabs- og aktivitetsåret 2013. Det gælder DRG-grupperne 0502, 0503, 0504, 0507, 0508, 0509, 0511, 0514, 0515, 0526, 0530, 0535, 0539 og 0560.
Hvad angår grupperne 0526 og 0569, synes det rimeligt at udelade AUH, da vores gennemsnitsomkostninger i omkostningsdatabasen (som den fremgår af eSundhed) afviger væsentligt fra de øvrige hospitaler, men for de øvrige grupper, ser niveauet for AUH fornuftigt ud sammenlignet med de øvrige hospitaler, så der undrer vi os over, at AUH er udeladt af takstberegningsgrundlaget og udbeder os en forklaring herpå.</t>
  </si>
  <si>
    <t>I 2011 var AUH involveret i et samarbejde med Dansk Cardiologisk Selskab, Rigshospitalet og Sundhedsstyrelsen omkring fastlæggelse af nedre og øvre grænser for gennemsnitsomkostninger i de kardiologiske DRG-grupper. De markante fald i taksterne i MDC05 indikerer, at det kunne være en god idé at genoptage denne øvelse og evt. udvide den til hele MDC05 mhp. at få mere viden om, hvad det rette niveau for taksterne reelt er.
Et kig i omkostningsdatabasen på eSundhed vil blot understrege behovet for en mere grundig validering af datagrundlaget, idet gennemsnitsomkostningerne varierer betydeligt imellem hospitalerne indenfor de enkelte DRG-grupper, ligesom der er flere eksempler på grupper, hvor der optræder en række hospitaler med ganske få observationer og markant afvigende gennemsnitsomkostninger.
AUH vil derfor opfordre til, at SSI i samarbejde med de relevante kliniske selskaber og hospitaler genoptager arbejdet med at fastlægge nedre og øvre grænser for gennemsnitsomkostningerne pr. DRG-gruppe i takstberegningsgrundlaget for MDC05.</t>
  </si>
  <si>
    <t>0113</t>
  </si>
  <si>
    <t>Behandling med højdosis immunglobulin ved sygdom i nervesystemet</t>
  </si>
  <si>
    <t>Takstberegningsgrundlaget ser mærkeligt ud. Gns. omkostningerne varierer en del imellem hospitalerne. Takstniveauet for 2014 vurderes til at være retvisende, så enten bør taksten sættes til 2014-niveauet alternativ bør kun Rigshospitalet indgå i takstberegningen.</t>
  </si>
  <si>
    <t>0115</t>
  </si>
  <si>
    <t>Medicinske sygdomme i nervesystemet med plasmaferese</t>
  </si>
  <si>
    <t>Taksten bør ikke beregnes på det foreliggende materiale. I takstberegningsgrundlaget svinger taksterne noget imellem hospitalerne. Der er store udsving i Rigshospitalets gns. omkostningere imellem 2012 og 2013, som i øvrigt afviger meget fra AUH. På denne baggrund mener vi, at taksten bør sættes til 2014-niveauet.</t>
  </si>
  <si>
    <t>Takstberegningsgrundlaget svinger også her noget imellem hospitalerne. Derfor mener vi ikke, at taksten kan beregnes på dette grundlag. Datagrundlaget kunne tyde på, at der alene er beregnet omkostninger på gennemsnitsbetragtninger som ikke tager højde for en kompleks medicinsk behandling. På den baggrund mener vi ikke, at taksten kan beregnes ud fra datagrundlaget. Vi har desværre ikke fået indhentet oplysninger om medcinudgiften forbundet med denne behandling, og foreslår derfor, at der tages kontakt til speciale selskabet alternativt at taksten fastsættes til 2014-niveauet.</t>
  </si>
  <si>
    <t>0131</t>
  </si>
  <si>
    <t>Epilepsikirurgi, udredning eller efterbehandling</t>
  </si>
  <si>
    <t>Takststigningen undrer noget. Vi har ikke grundlag for at vurdere hvor den korrekte takst bør ligge, men en stigning på 251% forekommer mærkværdig.</t>
  </si>
  <si>
    <t>0132</t>
  </si>
  <si>
    <t>Epilepsikirurgi, kontrol</t>
  </si>
  <si>
    <t>Takststigningen undrer noget. Vi har ikke grundlag for at vurdere hvor den korrekte takst bør ligge, men en stigning på 259% forekommer mærkværdig.</t>
  </si>
  <si>
    <t>0403</t>
  </si>
  <si>
    <t>Torakoskopi</t>
  </si>
  <si>
    <t>Takstberegningsgrundlaget ser mærkeligt ud. AUH og Aalborg skiller sig ud fra resten af hospitalerne, og dette så markant, at vi ikke mener, at takten bør beregnes. Så enten bør taktsten alene beregnes på baggrund af disse to hospitaler (AUH + Aalborg) ellers bør den sættes til 2014-niveauet.</t>
  </si>
  <si>
    <t>0404</t>
  </si>
  <si>
    <t>Respiratorbehandling ved sygdomme i luftvejene</t>
  </si>
  <si>
    <t>Det kan undre, at taksten er beregnet på de data der fremgår af takstberegningsgrundlaget, da der er store variationer imellem gennemsnitsomkostningerne for de hospitaler der indgår. Når datagrundlaget er så forskelligt, mener vi ikke at taksten bør beregnes. I stedet bør taksten sættes til 2014-niveauet.</t>
  </si>
  <si>
    <t>0444</t>
  </si>
  <si>
    <t>Cystisk fibrose</t>
  </si>
  <si>
    <t>Taksten er beregnet, men det mener vi ikke den bør på baggrund af det foreliggende materiale i takstberegningsgrundlaget. Her svinger de gennemsnitlige omkostninger fra 2.000 - 49.5000 kr. imellem hospitalerne. AUH og Rigshopsitalet indgår dog med en stor vægt, da de fleste udskrivninger er her. Taksten har været sendt kommentering i klinikken, og her vurderes takstforsalget (og dermed også de beregnede takster i takstgrundlaget) at være alt for lav sat. I kommentarerne nævnes det, at der er tale om en højtspecialiseret funktion, hvor der udføres relativt mange procedurer (centrale venekatetre til intravenøs antibiotisk behandling), der bruges store mængder dyr medicin grundet forekomst af sjældne infektioner og resistente bakterier, samt store personaleressourcer grundet høj tværfaglighed (diætister, fysioterapeuter, socialrådgivning samt store sygeplejeressourcer). Da taksteberegningsgrundlaget ikke er retvisende forslås det, at taksten fastsættes til 2014-niveauet, dvs. i størrelsesordenen 40.000 kr.</t>
  </si>
  <si>
    <t>Taksten er mere end halveret. I de takstgrænser, AUH var med til at anbefale i 2011, var grænserne for DRG 0515 ml. 190.000 kr. og 250.000 kr., mens grænserne for implantatudgifterne var ml. 125.000 kr. og 180.000 kr. 2014-taksten er således nok for høj specielt set i lyset af, at prisen på en ICD er faldet i størrelsesordenen 40-50.000 kr. siden 2011. Men taksten bør nok ligge et sted imellem 150.000 kr. og 200.000 kr.
I data for 2013 indgår Gentofte Hospital i omkostningsdatabasen med gns. omkostninger på 68.297 kr. I data for 2012 indgår Aalborg med gns. omkostninger på 30.066 kr. I begge tilfælde bør de to hospitalers bidrag holdes ude af takstgrundlaget, da deres gns. omkostninger knap nok dækker udgiften til en ICD. Endvidere undrer det noget, at AUH helt er udeholdt i takstgrundlaget.</t>
  </si>
  <si>
    <t>0542</t>
  </si>
  <si>
    <t>0541</t>
  </si>
  <si>
    <t>Stabil iskæmisk hjertesygdom, proceduregrp. B og/eller C</t>
  </si>
  <si>
    <t>I data for 2012 indgår Gentofte Hospital og Region Sjælland med gns. omkostninger på hhv. 22.324 kr. og 13.199 kr. Implantatomkostningerne alene bør udgøre mindst 20.000 kr., så disse observationer bør tages ud af takstberegningen. Derudover indgår en række hospitaler med mindre end 10 observationer for 2012, disse bør også tages ud af takstberegningen.</t>
  </si>
  <si>
    <t>I data for 2013 indgår OUH og Gentofte med observationer, hvor ydelsesomkostningerne ligger på hhv. 728 kr. og 2.781 kr. I data for 2012 indgår de samme to hospitaler med gns. ydelsesomkostninger på 884 kr. og 6.464 kr. Det kan man ikke lave ablation og computermapping for, så disse observationer bør tages ud af takstberegningen.</t>
  </si>
  <si>
    <t>0804</t>
  </si>
  <si>
    <t>Spondylodese, uden fiksation og reoperationer</t>
  </si>
  <si>
    <t>Taksten er beregnet, men det mener vi ikke den bør på baggrund af det foreliggende materiale i takstberegningsgrundlaget. Omkostningerne varierer alt for meget imellem hospitalerne, samt imellem årene for de enkelte hospitaler (f.eks. Rigshospitalet, AUH samt Hospitalsenheden Midt). Det vurderes, at taksten bør fastsættes til 2014-niveauet, dvs. i størrelsesordenen 100.000 kr.</t>
  </si>
  <si>
    <t>0842</t>
  </si>
  <si>
    <t>Rekonstruktion, overekstremitet, store led</t>
  </si>
  <si>
    <t>Taksten er beregnet, og det mener vi ikke den bør på det foreliggende grundlag. De gennemsnitlige omkostninger svinger fra 3.752 kr. til 31.850 kr. imellem hospitalerne. Noget kan tyde på, at der ikke indgår udgifter til div. materialer/skruer mv. i taksgrundlaget. Taksten for denne gruppe har svinget meget igennem de sidste år. Klinikken gør endvidere opmærksom på, at taksten for denne gruppe bør ligge over taksten for gruppe 0864. Det vurderes således, at taksten bør fastsættes til 2014-niveauet, dvs. i størrelsenordenen 22.500 kr. og ikke beregnes.</t>
  </si>
  <si>
    <t>0853</t>
  </si>
  <si>
    <t>Endoskopi/artroskopi, hofte</t>
  </si>
  <si>
    <t>Taksten er beregnet, og det mener vi ikke den bør, da gennemsnitsomkostningerne varierer meget imellem hospitalerne. AUH gav også kommentarer på denne takst sidste år (til 2014-taksterne) med fremsendelse af dokumentation for udgifterne. Vi fremender derfor på ny dokumentation, som viser, at taksten bør sættes til i størrelsesordenen 24.000 kr., jf. bilag.</t>
  </si>
  <si>
    <t>0908</t>
  </si>
  <si>
    <t>Sekundær rekonstruktion af bryst m. stilket muskellap, enkelt</t>
  </si>
  <si>
    <t>Taksten er beregnet, hvilket undrer en del, da takstgrundlaget er meget begrænset. Det er primært AUH, som indgår i takstberegningsgrundlaget, og fra klinikken er vurderingen, at en gennemsnitstakst på 62.000 kr. (omkostningsdatabasen 2013 for AUH) for denne patientgruppe er alt for lav. Det vurderes, at en takst på ca. 87.000 kr. virker mere retvisende, derfor forslås, at taksten sættes til dette niveau.</t>
  </si>
  <si>
    <t>0909</t>
  </si>
  <si>
    <t>Sekundær rekonstruktion af bryst med protese eller transplantat, dobbelt</t>
  </si>
  <si>
    <t>Det undrer noget, at taksten for den ene gruppe 0909 beregnes mens den sættes for 0910. Der er tale om samme operation i samme "familie". Endvidere påfaldende, at taksten for den enkeltsidige operation er højere end for den med dobbelt operation. Det er ikke retvisende - bør være omvendt. Mener ikke takstgrundlaget for 0909 kan bruges til at beregne taksten på, da datagrundlaget er meget begrænset og fejlbehæftet. Således bør begge takster sættes til 2014-niveauet, hvorved taksten for 0909 bliver højere end 0910.</t>
  </si>
  <si>
    <t>0910</t>
  </si>
  <si>
    <t>Sekundær rekonstruktion af bryst med protese eller transplantat, enkelt</t>
  </si>
  <si>
    <t>Taksten bør ikke beregnes, da datamaterialet ikke er retvisende. Omkostningerne i takstberegningsgrundlaget er klart misvisende for de egentlige ressourcer forbundet med denne behandling. Bl.a. kan det konstateres, at der ikke tages højde for belastningen af OP-aktiviteten, og ej heller, at der er ca. 52 % af patienterne får komplikationer, som medfører øget ressourcetræk på VAC-sårbehandling og øgede plejeressourcer/anæstesi. AUH har tidligere beregnet de faktiske udgifter til disse patienter på 137.000 kr. i.f.m. et meraktivitetsprojekt. Hertil skal så lægges diverse overhead omkostninger. Således vil en takst i størrelsesordenen 140.000 kr. efter AUH's opfattelse være retvisende.</t>
  </si>
  <si>
    <t>0914</t>
  </si>
  <si>
    <t>Plastikkirurgi efter stort vægttab</t>
  </si>
  <si>
    <t>Tilsvarende for 0913 mener AUH ikke, at denne takst bør beregnes, da omkostningerne i takstberegningsgrundlaget ej er retvisende. Det gælder for samtlige hospitaler. Egne beregninger på AUH viser en gennemsnitsomkostning på 57.760 kr. for disse patienter. En forklaring kan være, at der ikke tages højde for OP-belastningen i denne patientgruppe. Så taksten bør som minimum sættes til 2014-niveauet, men efter AUH standarder bør taksten sættes til 58.000 kr.</t>
  </si>
  <si>
    <t>Operationer for adipositas</t>
  </si>
  <si>
    <t>AUH mener ikke, at taksten kan beregnes på baggrund af det materiale der indgår i takstberegningsgrundlaget for denne takst. For AUH er de takster der er beregnet i omkostningsdatabasen ikke retvisende. Generelt er taksterne for hospitalerne meget lave, som måske kan skyldes, at der ikke er taget højde for at ca. 1/8-del at patienterne i denne gruppe er reoperationer, som er noget dyrere end almindelige fedmeoperationer. Gennemsnitstaksten for disse patienter er på AUH beregnet til 40.000 kr. I takstberegningsgrundlaget er det kun Aalborg Universitetshospital som kan matche disse omkosninger, derfor mener vi, at det udelukkende er Aalborg som skal danne grundlagt for takstberegningen. Alternativt bør taksten sættes til i størrelsesordenen 40.000 kr.</t>
  </si>
  <si>
    <t>1701</t>
  </si>
  <si>
    <t>Mini-knoglemarvstransplantation</t>
  </si>
  <si>
    <t>Der er tale om et rimelig markant takstfald for denne gruppe, og det undrer noget. Denne behandling finder kun sted på to hospitaler i DK - hhv. på AUH og Rigshospitalet. De gennemsnitsomkostninger der er opgjort i takstberegningsgrundlaget er meget forskellige for de to hospitaler. For AUH har klinikken vurderet, at gennemsnitstakster på 183.000-260.000 kr. ikke er retvisende for det faktiske ressourcetræk. Der er tale om forholdsvise tunge patienter, og det ser ud som om, at beregningerne er baseret på gennemsnitstakster for hele Hæmatologisk Afdeling uden at tage højde for disse særlige patienter. Tilsvarende vurderes gennemsnitsomkostningerne for Rigshospitalet også til at være alt for lave. Det vurders, at en takst på i størrelsesordenen 350.000-400.000 kr. er mere retvisende. Taksten bør sættes hertil i stedet for at blive beregnet. Dette også med begrundelse i, at behandlingen for gruppe 1701 er tæt beslægtet med gruppe 2628, hvor taksten er noget højere og hvor taksten er blevet sat.</t>
  </si>
  <si>
    <t>2302</t>
  </si>
  <si>
    <t>Rehabilitering</t>
  </si>
  <si>
    <t>Taksten er beregnet, men det mener vi ikke den bør på baggrund af det foreliggende materiale i takstberegningsgrundlaget. Omkostningerne varierer alt for meget imellem hospitalerne, samt imellem årene for de enkelte hospitaler (f.eks. Rigshospitalet, Amager Hospital). For AUH mener vi f.eks. ikke at dataene fra omkostningsdatabasen 2012 kan indgå i takstberegningsgrundlaget, da dette materiale er misvisende. Hvis taksten skal beregnes, skal der laves en mere kritisk gennemgang af datamaterialet, og en del sygehuse bør udeholdes. Det vurderes derfor, at taksten bør fastsættes til 2014-niveauet, dvs. i størrelsesordenen 91.000 kr.</t>
  </si>
  <si>
    <t>2501</t>
  </si>
  <si>
    <t>HIV med betydelig HIV relateret sygdom</t>
  </si>
  <si>
    <t>Taksten er beregnet, men det mener vi ikke den bør på baggrund af det foreliggende materiale i takstberegningsgrundlaget. Omkostningerne varierer alt for meget imellem hospitalerne, samt imellem årene for de enkelte hospitaler (f.eks. Rigshospitalet). Ifølge klinikken er takstfaldet uforståeligt, da der her er tale om patienter som indlægges med komplekse problemstillinger, herunder AIDS definerede sygdomme med behov for langvarig indlæggelse og anvendelse af dyr medicin (herunder HIV medicin). Det vurderes, at taksten bør fastsættes til 2014-niveauet, dvs. i størrelsesordenen 68.000 kr.</t>
  </si>
  <si>
    <t>2502</t>
  </si>
  <si>
    <t>HIV med eller uden bidiagnose</t>
  </si>
  <si>
    <t>Taksten er beregnet, men det mener vi ikke den bør på baggrund af det foreliggende materiale i takstberegningsgrundlaget. Omkostningerne varierer alt for meget imellem hospitalerne, samt imellem årene for de enkelte hospitaler (f.eks. Rigshospitalet). Ifølge klinikken er takstfaldet uforståeligt, da der her er tale om patienter som indlægges med komplekse problemstillinger, herunder AIDS definerede sygdomme med behov for langvarig indlæggelse og anvendelse af dyr medicin (herunder HIV medicin). Det vurderes, at taksten bør fastsættes til 2014-niveauet, dvs. i størrelsesordenen 43.000 kr.</t>
  </si>
  <si>
    <t>2605</t>
  </si>
  <si>
    <t>Intensiv neurorehabilitering på højt specialiseret central enhed, afklaringsforløb</t>
  </si>
  <si>
    <t>Der sker et markant fald i taksten for intensiv neurorehabilitering på højt specialiseret enhed (DRG-gruppe 2605). Således er der et fald i taksten på 22 pct. HE Midt kan ikke genkende billedet af baggrunden for faldet, idet patientforløbet fra 2014 til 2015 er uforandret. Dette er også afspejlet i trimpunktet for DRG-gruppen, der er uændret fra 2014 til 2015, hvilket igen kan tolkes som et udtryk for, at forløbet ikke har ændret sig. Hammel Neurocenter udgør en væsentlig andel af takstgrundlaget. I HE Midts fordelingsregnskab for 2013 er omkostningsstederne anført på 7-cifret SKS-kode og ikke 8-cifre. Konsekvensen af dette i forhold til takstberegningen har HE Midt ikke haft mulighed for at undersøge nærmere. Der blev d. 27. september 2013 afholdt møde mellem SSI, Sundhedsdokumentation og regionerne omkring intensiv neurorehabilitering på decentral og højt specialiseret enhed. HE Midt vil opfordre til, at SSI og HE Midt på ny drøfter takstberegningen for nævnte DRG-grupper. Alternativt skal HE Midt anmode om, at taksterne for DRG-gruppe 2605 ikke beregnes, men bliver sat, og på et niveau svarende til 2014.</t>
  </si>
  <si>
    <t>2644</t>
  </si>
  <si>
    <t>2643</t>
  </si>
  <si>
    <t>Multipatologi og svær funktionsnedsættelse</t>
  </si>
  <si>
    <t>Taksten er beregnet, men det mener vi ikke den bør på baggrund af det foreliggende materiale i takstberegningsgrundlaget. Omkostningerne varierer alt for meget imellem hospitalerne, samt imellem årene for de enkelte hospitaler (f.eks. Amager Hospital, Glostrup, OUH). For AUH er dataene fra begge aktivitetsår (dvs. både for omkostningsdatabasen 2012 + 2013) særdeles misvisende, og bør således ikke indgå i takstberegningsgrundlaget. Hvis taksten skal beregnes, skal der laves en mere kritisk gennemgang af datamaterialet, og en del sygehuse bør udeholdes. Det vurderes derfor, at taksten bør fastsættes til 2014-niveauet, dvs. i størrelsesordenen 121.000 kr.</t>
  </si>
  <si>
    <t>2645</t>
  </si>
  <si>
    <t>Multipatologi og moderat funktionsnedsættelse</t>
  </si>
  <si>
    <t>Taksten bør ikke beregnes på det foreliggende materiale. I takstberegningsgrundlaget svinger taksterne noget imellem hospitalerne, og grundlaget for især AUH virker misvisende. Vi kan ikke finde grundlag for at taksten skal sættes til 2014-niveauet, da dette virker en anelse for højt. I stedet bør taksten sættes til i størrelsesordenen 100.000 kr.</t>
  </si>
  <si>
    <t>2647</t>
  </si>
  <si>
    <t>2646</t>
  </si>
  <si>
    <t>Plastikkirurgisk dækning af større overfladedefekter</t>
  </si>
  <si>
    <t>Takststigningen undrer noget. I takstgrundlaget ses også en væsentlig forskel imellem omkostningsdatabasen 2012 og 2013. Bl.a. undrer den høje gennemsnitsomkostning for Rigshospitalet i 2012. Vores plastikkirurger vurderer også taksten til at være alt for høj. Bør sættes til 2014-niveauet.</t>
  </si>
  <si>
    <t>Taksten er beregnet, hvilket den ikke bør gøres på det forliggende takstgrundlag. Der er ifølge vores klinikere noget helt galt med takstberegningen for denne gruppe. Det kunne se ud som om, at der slet ikke er taget højde for den OP-belastning der er for denne patientgruppe. AUH ligger i takstberegningsgrundlaget i den høje ende, men selv disse beregninger er ikke korrekte. Det forslås, at taksten sættes til 2014-niveauet, dvs. i størrelsesordenen 210.000 kr.</t>
  </si>
  <si>
    <t>Respiratorbehandling ved langvarig kronisk</t>
  </si>
  <si>
    <t>Her kan det virkelig undre, at taksten beregnes på et så minimalt og tyndt grundlag (flere hospitaler der indgår med en enkelt dyr observation), som der er tilfældet. Takststigningen er meget uforståelig. Taksten bør ikke beregnes. Taksten for 2014 vurderes også til at være alt for høj. En takst i størrelsesorden 350.000-380.000 kr. virker mere retvisende.</t>
  </si>
  <si>
    <t>2656</t>
  </si>
  <si>
    <t>2655</t>
  </si>
  <si>
    <t>Behandling af rygmarvsskadet, højt specialiseret, central enhed, nytilskadekommen</t>
  </si>
  <si>
    <t>Taksterne for højt specialiseret behandling af rygmarvsskadet (DRGgruppe 2655 og 2656) er faldet med henholdsvis 28 pct. og 32 pct. Taksten for behandling af disse patienter bør ikke reduceres med 28- 32 pct., idet forløbet for patienterne er uforandret, på samme vis som forløbet for intensiv neurorehabilitering, nævnt ovenfor. Det fremgår af høringsmaterialet, at ovenstående takster er beregnet. Desuden er oplyst, at taksten for en del gruppers vedkommende er beregnet, selvom det medfører store ændringer i forhold til taksten i DRG 2014. For takster der afviger meget fra DRG 2014 taksten er der foretaget en vurdering af takstgrundlagets kvalitet og størrelse, samt set på hvordan den beregnede takst for DRG 2015 ligger sammenlignet med gennemsnitsprisen i takstgrundlaget de seneste 5 år. I nogle tilfælde har Sundhedsdokumentation valgt at lade taksten regne pba. omkostningsdatabasen, selvom niveauet her afviger betydeligt fra det tidligere års takstniveau. Denne fremgangsmåde er valgt, hvis omkostningsniveauet er homogent på tværs af sygehusene, og/eller takstgrundlaget er af en betydelig størrelse. HE Midt vil opfordre til, at SSI og HE Midt på ny drøfter takstberegningen for nævnte DRG-grupper. Alternativt skal HE Midt anmode om, at taksterne for DRG-gruppe 2655 og 2656 (i takstsystem 2014) ikke beregnes, men bliver sat, og på et niveau svarende til 2014.</t>
  </si>
  <si>
    <t>2657</t>
  </si>
  <si>
    <t>Behandling af rygmarvsskadet, højt specialiseret, central enhed, komplikationsindlæggelse</t>
  </si>
  <si>
    <t>2701-2708</t>
  </si>
  <si>
    <t>Strålebehandlingsgrupper</t>
  </si>
  <si>
    <t>Der er noget helt misvisende ved de beregnede takster indenfor disse DRG-grupper. Det kan undre, at taksterne for konventionel strålebehandling (gruppe 2705-2708) er højere end taksterne for kompleks strålebehandling (gruppe 2701-2704). Det burde være omvendt. Således mener vi ikke, at taksterne kan beregnes på det foreliggende grundlag.</t>
  </si>
  <si>
    <t>Kemoterapi, kompleks, med strålebehandling (ekskl. Stereotaksi)</t>
  </si>
  <si>
    <t>Taksten er beregnet, og noget kan tyde på, at ikke alle omkostninger er medtaget. Det kan i hvert fald undre, at taksten for kompleks kemoterapi med strålebehandling nu er lavere end for kompleks kemoterapi alene. Taksten for denne gruppe bør ligge i intervallet imellem 2718 og 2720. Taksten bør som minimum være højere end 2720 (kompleks kemoterapi).</t>
  </si>
  <si>
    <t>Kemoterapi, basis, med strålebehandling, 1-2 fraktioner (ekskl. Stereotaksi)</t>
  </si>
  <si>
    <t>Samme forhold som for 2719 gør sig gældende her. Basis kemoterapi med strålebehandling bør have en højere takst end basis kemoterapi alene (2724). Taksten bør således ikke beregnes.</t>
  </si>
  <si>
    <t>DG30K</t>
  </si>
  <si>
    <t>Tilstand med transplanteret væv - hæmatologi</t>
  </si>
  <si>
    <t xml:space="preserve">Taksten bør ikke beregnes på det foreliggende materiale, selvom SSI har vurderet det. I takstberegningsgrundlaget svinger taksterne noget imellem hospitalerne, også selv om det er vurderet, at 90% af observationerne har en omkostning på 2.200 kr. AUH er dog enig i, at takstniveauet for 2014 ikke skal holdes, men den bør i stedt sættes til i størrelsesordenen 3.400 kr.. </t>
  </si>
  <si>
    <t>DG30S</t>
  </si>
  <si>
    <t>Audiologi</t>
  </si>
  <si>
    <t>Taksten bør ikke beregnes på det foreliggende materiale. I takstberegningsgrundlaget svinger taksterne noget imellem hospitalerne, og for AUH undrer det os, at der ingen data er for 2012. Taksten bør sættes til 2014-niveauet, dvs. i størrelsesordenen 300 kr. Det er ikke et argument, at taksten kan beregnes alene fordi der er mange observationer, hvis ikke datagrundlaget er i orden.</t>
  </si>
  <si>
    <t>PG04H</t>
  </si>
  <si>
    <t>Kardiologisk undersøgelse, almindelig</t>
  </si>
  <si>
    <t>Taksten er stort set identisk med den for gruppe PG04G, som er en udvidet undersøgelse. Der bør være en større forskel imellem taksterne. Da begge takster er beregnet, mener vi, at taksten for PG04H bør sættes ift. PG04G.</t>
  </si>
  <si>
    <t>Taksten bør ikke beregnes på det foreliggende materiale. Datagrundlaget er ikke som SSI skriver konsistent. I takstberegningsgrundlaget svinger taksterne noget imellem hospitalerne, og især for AUH undrer datagrundlaget, som ser forkert ud. Noget kan tyde på, at der i omkostningsberegningen i takstgrundlaget ikke er indarbejdet udgifter til metal stents samt til selve kapselen, hvilket er en væsentlig del at ressourcetrækket for denne gruppe. Taksten for 2014 vurderes at være retvisende, derfor foreslås det, at taksten sættes til 2014-niveauet.</t>
  </si>
  <si>
    <t>PG10A</t>
  </si>
  <si>
    <t>Procedure på kæbe</t>
  </si>
  <si>
    <t>Her kan det virkelig undre, at taksten beregnes på et så minimalt og tyndt grundlag (8 observationer for 2012 og 14 observationer for 2013 i takstberegningsgrundlaget), som der er tilfældet. Takstfaldet er meget uforståelig. Taksten bør ikke beregnes, men i stedet sættes til 2014-niveauet.</t>
  </si>
  <si>
    <t>PG10C</t>
  </si>
  <si>
    <t>Tandbehandling, svær</t>
  </si>
  <si>
    <t>Taksten bør ikke beregnes på det foreliggende materiale, selvom SSI har vurderet at datagrundlaget er bredt og konsistent. Det mener vi ikke det er. Der er stor spedning imellem hospitalernes gennemsnitstakster, og generelt ser de beregnede gennemsnitsomkostninger ikke retvisende ud for de fleste hospitaler (Rigshospitalet svinger noget imellem de to omkostningsdatabaser 2012 og 2013). AUH har gennemsnitsomkostninger som ser mere reelle ud end de øvrige hospitaler. Det er i øvrigt bemærkelsesværdig, at taksten for PG10C (svær tandbehandling) er lavere end PG10D (middel tandbehandling) - også når det i kommentarfeltet til PG10D står, at denne er sat på baggrund af niveauet for PG10C!!! Det foreslås, at taksten fastsættes til 2014-niveauet.</t>
  </si>
  <si>
    <t>PG10L</t>
  </si>
  <si>
    <t>Audiologisk udredning, diagnostiske procedurer, pat. 0-2 år</t>
  </si>
  <si>
    <t>Hvordan kan SSI sige, at der ligger et bredt og konsistent datagrundlagt for denne takst? I bilag PG10L gengives en dump fra takstberegningsgrundlaget, og det ser bestemt ikke konsistent ud! AUH udskiller sig markant fra de øvrige hospitaler, og vi har ikke anledning til at betvivle vores gennemsnitsomkostninger. Det er katastrofalt, at en takst beregnes på dette grundlag. Der er dog ikke tvivl om, at taksten for 2014 er for høj. AUH mener dog, at taksten bør sættes til størrelsesordenen 7.000 kr.</t>
  </si>
  <si>
    <t>Det undrer noget, at taksten for gruppe PG11H er lavere end for gruppe PG11I. Begge takster er beregnet, men evt. bør PG11H sættes ift. PG11I, så den bliver noget højere.</t>
  </si>
  <si>
    <t>SSI skriver, at man har bedt de relevante sygehuse, som ligger til grund for den beregnede takst, at validere omkostningerne. Vi har på AUH ikke fået en konkret henvendelse herom, og har desværre ikke mulighed på nuværende tidspunkt, om at give en sådan. Vi synes dog, at datagrundlaget i takstberegningsgrundlaget ser noget broget ud - der er store variationer imellem hospitalerne på gennemsnitsomkostningerne. Vi kan ikke anbefale at beregne taksten på dette grundlag, men foreslår, at SSI tager kontakt til specialeselskabet mht. værdifastsættelse.</t>
  </si>
  <si>
    <t>PG13Q</t>
  </si>
  <si>
    <t>PG13P</t>
  </si>
  <si>
    <t>Immundefekt</t>
  </si>
  <si>
    <t>Taksten er beregnet, og det er primært AUH som indgår i takstberegningsgrundlaget. Men det kan konstateres, at den beregnede takst ikke afspejler virkeligheden. I forbindelse med oprettelse af gruppen (i T14) indsendte AUH en udførlig dokumentation for ressourcetrækket, jf. bilag. Dette mener vi bør ligge til grund for takstfastsættelsen. Bl.a. skal det nævnes, at der tages en immundefekt test som løber op i 17.000 kr., således vil en takst på 11.511 kr. ikke dække denne udgift. Det forslås derfor, at taksten sættes til ca. 20.000 kr., jf. bilag PG13Q</t>
  </si>
  <si>
    <t>PG15A-PG15C</t>
  </si>
  <si>
    <t>Arbejdsmedicinske grupper</t>
  </si>
  <si>
    <t>Taksterne for gruppe PG15A og PG15B er beregnet. Vi har desværre ikke fået nogen tilbagemelding fra klinikken herpå, så vi har ikke mulighed for at vurdere, om de beregnede takster er retvisende. Dog ser datamaterialet i takstberegningsgrundlaget for disse to grupper noget varieret ud, så man kan betvivle om taksterne er retvisende. Noget kunne dog tyde på, at takstniveauet for 2014 er overestimeret.</t>
  </si>
  <si>
    <t>PG16A</t>
  </si>
  <si>
    <t>Genetisk risikovurdering og rådgivning med gentagen udredning og samtale</t>
  </si>
  <si>
    <t>Taksten for denne gruppe er sat i forhold til niveauet for gruppe PG16B, som er beregnet. AUH mener dog ikke at beregningen for PG16B er retvisende (jf. nedenfor). Således bør denne takst genberegnes, når niveauet for PG16B er fundet. Dog vurderes takstniveauet for 2014 at være retvisende, så alternativt kan taksten sættes i forhold hertil.</t>
  </si>
  <si>
    <t>PG16B</t>
  </si>
  <si>
    <t>Genetisk risikovurdering og rådgivning med udredning</t>
  </si>
  <si>
    <t>Taksten er beregnet, og SSI har vurderet datagrundlaget som bredt og konsistent. Det kan undre noget, når Klinisk Genetisk Selskab gentagne gange har gjort opmærksom på, at der er specialer som anvender de Klinisk Genetiske procedurekoder for ydelser, som langt fra ligger op ad de genetiske ydelser. Således bør alle ikke genetiske specialer holdes ude af takstberegningen. Endvidere bør både OUH og AUH også holdes ude af takstberegningen, da data herfor ikke ser retvisende ud. OUH har ændret i deres fordelingsregnskab, som har stor betydning for takstberegningen. Selv takstniveauet for 2014 vurderes at være for lavt. Taksten bør ligge på et niveau i størrelsesordenen 5.000 kr.</t>
  </si>
  <si>
    <t>PG16C</t>
  </si>
  <si>
    <t>Genetisk risikovurdering og rådgivning</t>
  </si>
  <si>
    <t>Samme forhold som for gruppe PG16B gør sig gældende her. Dvs. at alle ikke kliniske genetiske specialer samt AUH og OUH bør holdes ude af takstberegningen. En takst på i størrelsesordenen 4.700 kr. bør være retvisende.</t>
  </si>
  <si>
    <t>PG16D</t>
  </si>
  <si>
    <t>Stamtræsoptegnelse</t>
  </si>
  <si>
    <t>Samme forhold som for gruppe PG16B og PG16C er gældende her. Dvs. at igen bør de ikke kliniske genetiske specialer samt AUH og OUH udeholdes af takstberegningen. Taksten bør ikke være højere end de øvrige PG16-grupper, men gerne på niveau med PG16C. Dvs. at en takst i størrelsesordenen 4.700 kr. er retvisende.</t>
  </si>
  <si>
    <t>PG11H
'PG11I</t>
  </si>
  <si>
    <t>PG11H
PG11I</t>
  </si>
  <si>
    <t>Medicin-behandling, grp. 8 og grp. 9</t>
  </si>
  <si>
    <t>2.728
2.835</t>
  </si>
  <si>
    <t>2.820
1.411</t>
  </si>
  <si>
    <t>Bilag 0853</t>
  </si>
  <si>
    <t>Indgreb</t>
  </si>
  <si>
    <t>Hofteartroscopi, Labrumfiksation</t>
  </si>
  <si>
    <t>SKS-kode</t>
  </si>
  <si>
    <t>KNFH7* eller KNFH9*</t>
  </si>
  <si>
    <t>DRG2013</t>
  </si>
  <si>
    <t>Tidsforbrug (operation), timer</t>
  </si>
  <si>
    <t>Incl. Udskiftningstid</t>
  </si>
  <si>
    <t>Omkostninger opgjort i 2010-priser</t>
  </si>
  <si>
    <t>OP-utensilier</t>
  </si>
  <si>
    <t>Antal</t>
  </si>
  <si>
    <t>Stk. pris incl. moms</t>
  </si>
  <si>
    <t>Samlet pris</t>
  </si>
  <si>
    <t>Forudsætninger</t>
  </si>
  <si>
    <t>Børste m. jod</t>
  </si>
  <si>
    <t>Kittel</t>
  </si>
  <si>
    <t>Operationshue</t>
  </si>
  <si>
    <t>Operationsmaske</t>
  </si>
  <si>
    <t>Sterile handsker</t>
  </si>
  <si>
    <t>Afdækning</t>
  </si>
  <si>
    <t>Ioban Vertikalafdækning, gennemsigtig</t>
  </si>
  <si>
    <t>Kameraovertræk</t>
  </si>
  <si>
    <t>Engangskniv</t>
  </si>
  <si>
    <t>3 - 0 nylonsutur</t>
  </si>
  <si>
    <t>20 ml sprøjte</t>
  </si>
  <si>
    <t>Grøn kanyle</t>
  </si>
  <si>
    <t>Rød kanyle</t>
  </si>
  <si>
    <t>Beaverblad</t>
  </si>
  <si>
    <t>Blå sugende forbinding</t>
  </si>
  <si>
    <t>Mefix</t>
  </si>
  <si>
    <t>Slangesæt, samlet</t>
  </si>
  <si>
    <t>Shaver-klinge, bløddels</t>
  </si>
  <si>
    <t>Shaver-klinge, knogle</t>
  </si>
  <si>
    <t>Shaver-klinge, curved</t>
  </si>
  <si>
    <t>Sterilisering incisionsæt</t>
  </si>
  <si>
    <t>Sterilisering artroscop</t>
  </si>
  <si>
    <t>30 gr. + 70 gr.</t>
  </si>
  <si>
    <t>Sterilisering lyskabel</t>
  </si>
  <si>
    <t>Sterilisering shawer</t>
  </si>
  <si>
    <t>Sterilisering mini driver</t>
  </si>
  <si>
    <t>Sterilisering lang krog</t>
  </si>
  <si>
    <t>Sterilisering specialinstrumenter</t>
  </si>
  <si>
    <t>Arbejdskanyle</t>
  </si>
  <si>
    <t>Strækbandage</t>
  </si>
  <si>
    <t>Splitlagen</t>
  </si>
  <si>
    <t>Løftestykke</t>
  </si>
  <si>
    <t>Arthrocare brænder</t>
  </si>
  <si>
    <t>2 forskellige krumninger</t>
  </si>
  <si>
    <t>Gult sprit</t>
  </si>
  <si>
    <t>Lagner til lejet</t>
  </si>
  <si>
    <t>Nacl a 3 l</t>
  </si>
  <si>
    <t>Marcain / adr. 5 mg/ml; 20 ml.</t>
  </si>
  <si>
    <t>Neutralplade</t>
  </si>
  <si>
    <t>Brænde pincet</t>
  </si>
  <si>
    <t>Sterilisering lille ort.kir.</t>
  </si>
  <si>
    <t>Sterile servietter</t>
  </si>
  <si>
    <t>Steril tush</t>
  </si>
  <si>
    <t>Skjorte</t>
  </si>
  <si>
    <t>Sokker</t>
  </si>
  <si>
    <t>Ankre med sutur</t>
  </si>
  <si>
    <t>Bio-fast</t>
  </si>
  <si>
    <t>Suture lasso, 90 gr.</t>
  </si>
  <si>
    <t>Zinacef 1,5 g</t>
  </si>
  <si>
    <t>Løn-OP-personale</t>
  </si>
  <si>
    <t>Læger</t>
  </si>
  <si>
    <t>425 kr /time i gennemsnit incl. pension og feriepenge. Reservelæge (0,6 læge) assistent.</t>
  </si>
  <si>
    <t>Sygeplejersker</t>
  </si>
  <si>
    <t>225 kr/time i gnsn. Incl. Feriepenge og pension</t>
  </si>
  <si>
    <t>Genoptræningspl./databasereg.</t>
  </si>
  <si>
    <t>20 min. Speciallægetid</t>
  </si>
  <si>
    <t>Anæstesi</t>
  </si>
  <si>
    <t>Læge</t>
  </si>
  <si>
    <t>Sygeplejerske</t>
  </si>
  <si>
    <t>Opvågningssygeplejerske</t>
  </si>
  <si>
    <t xml:space="preserve">Medicin </t>
  </si>
  <si>
    <t>112,40 kr/time (1000 mg Propofol = 100 ml /time (78,58 kr), patient 85 kg.)</t>
  </si>
  <si>
    <t>Éngangsmaterialer, dropsæt, venflon, CO2-absorber, ensretter, sprøjter, kanyler, infusionsslange, venflon-plaster mm.</t>
  </si>
  <si>
    <t>Subfasciel blokade</t>
  </si>
  <si>
    <t>Naropin 7,5 mg/ml, 30 ml.= 149,40 kr. + stimuplex-kanyle og stimulator</t>
  </si>
  <si>
    <t>Larynx-maske</t>
  </si>
  <si>
    <t>Administrativt</t>
  </si>
  <si>
    <t>1300 operationer pr. år på én OP-stue med opvågning, autoclave-, undersøgelses- og personalerum</t>
  </si>
  <si>
    <t>Afskrivning apparatur</t>
  </si>
  <si>
    <t>OP stue 4,8 mio kr. afskrevet over 7 år</t>
  </si>
  <si>
    <t>Husleje</t>
  </si>
  <si>
    <t>Andel af samlet areal til op-stue + opvågning mm. = (300 kvm).á 1250 kr/kvm. Incl. Moms pr. år</t>
  </si>
  <si>
    <t>Forsikringer</t>
  </si>
  <si>
    <t>100000 kr/år</t>
  </si>
  <si>
    <t>Administration, telefon, IT</t>
  </si>
  <si>
    <t>300000 kr/år pr. OP-stue</t>
  </si>
  <si>
    <t>Løn sekretær</t>
  </si>
  <si>
    <t>198 kr/time incl. feriepenge og pension</t>
  </si>
  <si>
    <t>Løn, servicemedarbejder</t>
  </si>
  <si>
    <t>185 kr/time incl. Feriepenge og pension</t>
  </si>
  <si>
    <t>Forplejning, patient</t>
  </si>
  <si>
    <t>SUM - totale omkostninger</t>
  </si>
  <si>
    <t xml:space="preserve">Samlet pris incl. moms </t>
  </si>
  <si>
    <t>Ved FEA-/overarbejdstakst for læger/sgpl. (+100% timeløn)</t>
  </si>
  <si>
    <t>Bilag PG13Q</t>
  </si>
  <si>
    <t>Omkostningberegning for Immundefekt:</t>
  </si>
  <si>
    <t>Bilag PG10L</t>
  </si>
  <si>
    <t>Gennemsnitlig omkostning pr. sygehus fordelt på regnskabsår</t>
  </si>
  <si>
    <t>DAGS</t>
  </si>
  <si>
    <t>Sygehus</t>
  </si>
  <si>
    <t>Takstberegningsgrundlag 2014</t>
  </si>
  <si>
    <t>Takstberegningsgrundlag 2015</t>
  </si>
  <si>
    <t>Omkostningsdatabase 2011</t>
  </si>
  <si>
    <t>Omkostningsdatabase 2012</t>
  </si>
  <si>
    <t>Omkostningsdatabase 2013</t>
  </si>
  <si>
    <t>Antal besøg</t>
  </si>
  <si>
    <t>Gennemsnitlig omkostning (kr.)</t>
  </si>
  <si>
    <t>Region Sjællands Sygehusvæsen</t>
  </si>
  <si>
    <t>Rigshospitalet</t>
  </si>
  <si>
    <t>Gentofte Hospital</t>
  </si>
  <si>
    <t>OUH Odense Universitetshospital</t>
  </si>
  <si>
    <t>OUH Svendborg Sygehus</t>
  </si>
  <si>
    <t>Sydvestjysk Sygehus</t>
  </si>
  <si>
    <t>Fredericia og Kolding Sygehuse</t>
  </si>
  <si>
    <t>Hospitalsenheden Horsens</t>
  </si>
  <si>
    <t>Regionshospitalet Holstebro</t>
  </si>
  <si>
    <t>Regionshospitalet Herning</t>
  </si>
  <si>
    <t>Regionshospitalet Tarm</t>
  </si>
  <si>
    <t>Hospitalsenheden Vest</t>
  </si>
  <si>
    <t>Regionshospitalet Silkeborg</t>
  </si>
  <si>
    <t>Sygehus Thy - Mors</t>
  </si>
  <si>
    <t>C_Region Midtjylland_høringssvar</t>
  </si>
  <si>
    <t>Fremskrivningsprocent</t>
  </si>
  <si>
    <t>Det er uhensigtsmæssigt, at den nul-sumskorrektion der laves udelukkende tillægges de takster der sættes. En alternativ og mere hensigtsmæssig metode må være, at de takstniveauer der igen skal sættes, fastholdes på det nuværende niveau, og at nul-sumskorrektionen i stedet gennemføres bagefter på samtlige grupper.</t>
  </si>
  <si>
    <t>Region Nordjylland</t>
  </si>
  <si>
    <t>Hierarkisk struktur i grupper</t>
  </si>
  <si>
    <t>Indenfor de grupper hvor der kan siges at være et hierarki, bør den relative forskel ikke forskydes, fordi en takst beregnes og en anden sættes. Jf. eksempelvis 0907 og 0908. På samme måde bør hierarkiet heller ikke ændres, som det eksempelvis er tilfældet for 0909 og 0910.</t>
  </si>
  <si>
    <t>D</t>
  </si>
  <si>
    <t>Udgifterne i omkostningsdatabasen vurderes ikke, at indfange de samlede omkostninger. Aalborg vurderer, at udgiften i 2013 har været ca. 70.000, mens den i 2014 formentlig vil falde til et sted i mellem 60.000 og 70.000. I omkostningsdatabasen er Aalborg angivet til at have haft en omkostning på 22.767 i 2013. Takstniveauet bør derfor fastsættes på et andet niveau end beregningerne i omkostningsdatabasen tilsiger.</t>
  </si>
  <si>
    <t>0310</t>
  </si>
  <si>
    <t>0309</t>
  </si>
  <si>
    <t>Kæbeledsalloplastik</t>
  </si>
  <si>
    <t>Der er for stor forskel de to sygehuse imellem, til at det bør være relevant at bruge omkostningsdatabasen.</t>
  </si>
  <si>
    <t>Udgifterne til implanter i den foreliggende beregning har så stor variation, at det bør overvejes hvorvidt de er korrekte. Aalborg er inkluderet i beregningen, til trods for meget lave implantomkostninger i 2012. Aarhus er helt udeladt, til trods for registrerede implantudgifter i 2013. Implantudgifter på Gentofte falder fra 166.936 i 2012 til 43.009 i 2013, mens Rigshospitalet og Odense kun oplever at fald på henholdsvis 3 % og 12 %. Jf. ovenstående generelle bemærkning til til takstregulering af MDC-05 oplyser Aalborg, at man har haft et fald i implanttantudgifter på ca. 16 % fra 2010-2013.</t>
  </si>
  <si>
    <t>En række af udgifterne i omkostningsdatabasen virker til ikke at være komplet registreret. Eksempelvis implantomkostninger fra Region Sjælland i 2012 og 2013 og fra Region Midtjylland i 2012. Region Sjælland virker til at have unaturligt lave ydelsesomkostninger i både 2012 og 2013. Region Hovedstaden har stort set kun implantanter registreret under ydelsesomkostninger i 2013.</t>
  </si>
  <si>
    <t>0837</t>
  </si>
  <si>
    <t>Rekonstruktion, avanceret, m. allograft, knæ</t>
  </si>
  <si>
    <t>Det bør vurderes, om stigningen i taksten svarer til omkostningsniveauet idet operationsomkostningerne i Aarhus er påfaldende høje. Såfremt dette er tilfældet, bør taksten sættes.</t>
  </si>
  <si>
    <t>Omkostningsniveauet vurderes ikke at være dækkende for det egentlige omkostningsniveau, da kun enkelte sygehuse har opgivet implantantomkostninger. Udgifterne til operation-, sengeomkostninger og implantater i Aalborg er ikke dækket af den beregnede takst jf. ovenstående hvorfor taksten bør fastsættes til niveauet for 2014.</t>
  </si>
  <si>
    <t>0501-0571</t>
  </si>
  <si>
    <t>0501-0570</t>
  </si>
  <si>
    <t>MDC-gruppe 5: Sygdomme i kredsløbsorganerne</t>
  </si>
  <si>
    <t>En række af taksterne med store ændringer går fra at være satte til nu at være beregnede. Selvom der kan være fornuft i at nogle sænkes, bør de store ændringer give anledning til en nærmere vurdering af omkostningsniveauet. Det store fald bør give anledning til et egentligt omkostningsstudie. Alternativt kunne en model være, at taksten reguleres ift. prisfaldet på implantater.</t>
  </si>
  <si>
    <t>0907-0908, 0909-0910</t>
  </si>
  <si>
    <t>Forskellige former for sekundær rekonstruktion af bryst</t>
  </si>
  <si>
    <t>Uklart hvad forskellen er i forhold til hvad der sættes og hvad der beregnes. For 0907-0908 gør det sig gældende, at en dobbelt rekonstruktion koster næsten tre gange så meget som en enkelt. For 0909-0910 gør det sig gældende, at en enkelt rekonstruktion er dyrere end en dobbelt.</t>
  </si>
  <si>
    <t>0913, 0914</t>
  </si>
  <si>
    <t>Body lift eller plastikkirurgi efter stort vægttab</t>
  </si>
  <si>
    <t>Omkostningsniveauet i omkostningsdatabasen svarer ikke til de faktiske udgifter til behandling af patienterne. Der er tale om patienter, der gennemgår komplicerede operationer med over fire timer i generel anæstesi, hvorfor det beregnede omkostningsniveau slet ikke dækker de faktiske omkostninger til at behandle patienten.</t>
  </si>
  <si>
    <t>1107, 1109, 1302, 1304, 1308, 1310, 1313</t>
  </si>
  <si>
    <t>Omkostningsdatabasen er ikke komplet i forhold til registrering af implantantomkostninger. Den merudgift der i relation til selve operationen, indfanges derfor ikke. Særligt omkostningsdatabasen for Odense opfanger ikke de særlige robotrelaterede omkostninger. Taksten for de pågældende grupper skal derfor fortsat sættes.</t>
  </si>
  <si>
    <t>1501-1503</t>
  </si>
  <si>
    <t>Død eller overflyttet til anden afdeling inden 2 døgn</t>
  </si>
  <si>
    <t>Omkostningsniveauet forventes ikke at være dækket med de nye beregnede takster. Dette set i forhold til det behandlingssetup, der ligger til grund for taksterne.</t>
  </si>
  <si>
    <t>Forskellige former for strålebehandling</t>
  </si>
  <si>
    <t>Ingen sammenhæng i prisstrukturen mellem konventionel og kompleks strålebehandling samt antallet af fraktioner. Komplekse strålebehandlinger bør som udgangspunkt være dyrere end konventionelle. I det modtagne takstforslag er 2706 ca. dobbelt så dyr som 2702, hvilket er ulogisk. Der er behov for en logik, som prisfastsætter de otte grupper i forhold til hinanden. Der er desuden behov for en revidering af gråzone-logikken indenfor området. Hvad der er gråzone og hvad der ikke er gråzone.</t>
  </si>
  <si>
    <t>2707, 2722</t>
  </si>
  <si>
    <t>Strålebehandling, konventionel, 2 fraktioner og Kemoterapi, basis, med strålebehandling, 1-2 fraktioner (ekskl. stereotaksi)</t>
  </si>
  <si>
    <t>Der er en ulogisk sammenhæng i tyngdeforholdet idet, at 2707 er sat til en højere takst end 2722.</t>
  </si>
  <si>
    <t>2716-2724</t>
  </si>
  <si>
    <t>Forskellige former for kemoterapi</t>
  </si>
  <si>
    <t xml:space="preserve">Ingen sammenhæng i prisstrukturen set i forhold til tyngdeforholdet grupperne imellem. I takstforslaget er eksempelvis 2720 mere end dobbelt så dyr som 2719, hvilket er ulogisk. Der er behov for en logik som prisfastsætter de ni grupper i forhold til hinanden. </t>
  </si>
  <si>
    <t>Taksten bør fortsat sættes, idet omkostningsniveauet er meget svingende og langt fra ressourcehomogent. Kun få af sygehusene har registreret implantatomkostninger.</t>
  </si>
  <si>
    <t>PG10L, PG10M</t>
  </si>
  <si>
    <t>Audiologisk udredning</t>
  </si>
  <si>
    <t>Hierarkiet tilsiger, at PG10L burde være den dyreste takst, men med de nye beregninger pba. omkostningsdatabasen ændres forholdet. Det antages at være mere omkostningstungt at lave en audiologisk udredning på et spædbarn end et barn over 90 dage.</t>
  </si>
  <si>
    <t>PG16A-D</t>
  </si>
  <si>
    <t>Genetisk risikovurdering og stamtræsoptegnelse</t>
  </si>
  <si>
    <t>Hele gruppen falder fra 31-47 %. Det bør vurderes om det beregnede fald i omkostningerne svarerer til de reelle udgifter til at behandle patienterne.</t>
  </si>
  <si>
    <t>ST01B</t>
  </si>
  <si>
    <t>Palliativ indsats, specialiseret, hjemmebesøg</t>
  </si>
  <si>
    <t>Taksten har altid været sat, men omkostningerne som opgivet i omkostningsdatabasen er stigende. Omkostningerne, som opgivet i omkostningsdatabasen, er meget forskellige imellem de enkelte sygehuse, og der bør derfor foretages et egentligt omkostningsstudie inden taksten beregnes.</t>
  </si>
  <si>
    <t>E</t>
  </si>
  <si>
    <t>0516
0521</t>
  </si>
  <si>
    <t>Endovaskulær stentgraft
Større central karkirurgi</t>
  </si>
  <si>
    <t xml:space="preserve">188.433 
253.666 </t>
  </si>
  <si>
    <t xml:space="preserve">129.364
166.204 </t>
  </si>
  <si>
    <t>Dansk Karkirurgisk Selskab</t>
  </si>
  <si>
    <t>Det er uforståeligt at taksterne for DRG-gruppe 0516 endovasculær stentgraft og 0521 større central karkirurgi er faldet med mere end 30 %. Fx. er taksten for operation for rumperet abdominalt aortaaneurisme reduceret med næsten 90.000kr.
Der er ikke sket nogen ændring i indlæggelsestid, materialeomkostninger eller komplikationer gennem mange år. Alene implantatudgifterne ved endovaskulær behandling af abdominalt aortaaneurisme er 97.000kr og taksten er foreslået til 129.000kr.</t>
  </si>
  <si>
    <t>Dansk Karkirurgisk Selskab foreslår at 2014-taksterne opretholdes for disse 2 grupper.</t>
  </si>
  <si>
    <t>F</t>
  </si>
  <si>
    <t>PG15A
PG15B
PG15C</t>
  </si>
  <si>
    <t>Arbejdsmedicin grp. 1
Arbejdsmedicin grp. 2
Arbejdsmedicin grp. 3</t>
  </si>
  <si>
    <t>6.900
7.176
8.970</t>
  </si>
  <si>
    <t>9.328
15.568
18.648</t>
  </si>
  <si>
    <t>Dansk Selskab for Arbejds- og miljømedicin</t>
  </si>
  <si>
    <t>• Det er DASAM’s holdning, at man, pga. de store usikkerheder i indberetningerne til omkostningsdatabasen på det arbejdsmedicinske område, ikke bør lægge tallene fra denne database til grund, men anvende den tidligere udførte ABC-analyse som baggrund. Der er ikke sket ændringer indenfor specialet, som ville medføre væsentligt anderledes takster, såfremt man i dag foretog en fornyet ABC-analyse.  Derfor foreslår vi en videreførelse af taksterne for 2014 med mindre justeringer.</t>
  </si>
  <si>
    <t>• Der er i de foreslåede takster for 2015 ingen vægtning mellem gruppe A, B og C Heller ikke her er der sket væsentlige ændringer siden ABC-analysen, hvorfor den tidligere vægtning også i dette spørgsmål må lægges til grund.
• Der ligger en betydelig fejlkilde i beregningerne af de foreslåede takster, idet man har anvendt det samlede antal besøg som grundlag og ikke kun førstegangsbesøg.
• Endelig er det en særlig problemstilling, at enkelte andre afdelinger deriblandt regionale socialmedicinske afdelinger, der primært skal finansieres af primærkommunerne, også anvender de arbejdsmedicinske takster. Dette kan i beregningerne være med til at udhule taksten, og specialet foreslår at denne problemstilling også varetages. Derfor bør kun data fra de arbejdsmedicinske afdelinger indgå i beregningerne.</t>
  </si>
  <si>
    <t>G</t>
  </si>
  <si>
    <t>Vi har gennemlæst det fremsendte materiale og har med bekymring set, at geriatrisk udredning er devalueret med 25 %. Vi synes det er en forkert signal værdi at sende, at vi bliver nødsaget til at afsætte mindre tid til den geriatrisk udredning, set i lyset af den demografiske udvikling. Vi mener der tvært imod burde afsættes flere ressourcer til den geriatriske patient.</t>
  </si>
  <si>
    <t>PG13C</t>
  </si>
  <si>
    <t>Geriatri, udredning</t>
  </si>
  <si>
    <t>Dansk Selskab for Geriatri</t>
  </si>
  <si>
    <t>H</t>
  </si>
  <si>
    <t>PG08H
PG08I
PG08J</t>
  </si>
  <si>
    <t>Jordemoderkonsultation, akut, graviditet
Jordemoderkonsultation, udvidet
Jordemoderkonsultation, basis</t>
  </si>
  <si>
    <t>983
655
328</t>
  </si>
  <si>
    <t>984
656
328</t>
  </si>
  <si>
    <t>Jordemoderforeningen</t>
  </si>
  <si>
    <t>Jordemoderforeningen noterer sig med glæde, at vægtningen af taksterne for basis, udvidet og akut jordemoderkonsultation (PG08H, PG08I, PG08J) er i overensstemmelse med tidligere indsendte forslag.  
Af materialet fremgår det, at PG08G vedrørende svangrekontrol af bariatrisk opererede kvinder er angivet som et bud fra Jordemoderforeningen. Behovet for denne kode har været diskuteret i foreningens udvalg, og vi er enige med en særlig taksering herfor. Men det er ikke Jordemoderforeningen, der har indstillet til dette bud.</t>
  </si>
  <si>
    <t>I</t>
  </si>
  <si>
    <t>PG17 G</t>
  </si>
  <si>
    <t>PG17H</t>
  </si>
  <si>
    <t>Glomerulær filtration, Cr-51-EDTA, enkelt blodprøve</t>
  </si>
  <si>
    <t>DSKFNM</t>
  </si>
  <si>
    <t>PG17 F</t>
  </si>
  <si>
    <t>Behandling med I-131, struma diffusa toxica</t>
  </si>
  <si>
    <t>Behandling med I-131, struma nodosa toxica</t>
  </si>
  <si>
    <t>Behandling med I-131, adenoma toxica</t>
  </si>
  <si>
    <t>Behandling med I-131, struma diffusa atoxica</t>
  </si>
  <si>
    <t xml:space="preserve">Behandling med I-131, struma nodasa atoxica
</t>
  </si>
  <si>
    <t>Max. Inspiratorisk og ekspiratorisk muskeltryk</t>
  </si>
  <si>
    <t>Distalt systolisk blodtryk, OE, kuldeprovokation</t>
  </si>
  <si>
    <t>PG17C</t>
  </si>
  <si>
    <t>PET-Tumorscanning, C11-Methionine  </t>
  </si>
  <si>
    <t>PG17 E</t>
  </si>
  <si>
    <t>Myocardieperf. scint. Rb- 82, hvile  </t>
  </si>
  <si>
    <t>PG17 B</t>
  </si>
  <si>
    <t>CT Thorax på PET/CT, breath hold  </t>
  </si>
  <si>
    <t>PET Thorax på PET/CT, breath hold  </t>
  </si>
  <si>
    <t>SKS-kode: WNCGTCJXX
Prisstigning i radioaktivtlægemiddel ca. kr. 3000 pr glas.</t>
  </si>
  <si>
    <t>SKS-kode: WTFRNJLXX
Prisstigning i radioaktivtlægemiddel  til kr.2500/ dosis</t>
  </si>
  <si>
    <t>SKS-kode: WTGRNJLXX
Prisstigning i radioaktivtlægemiddel  til kr.2500/ dosis</t>
  </si>
  <si>
    <t>SKS-kode: WTHRNJLXX
Prisstigning i radioaktivtlægemiddel  til kr.2500/ dosis</t>
  </si>
  <si>
    <t>SKS-kode: WTIRNJLXX
Prisstigning i radioaktivtlægemiddel  til kr.2500/ dosis</t>
  </si>
  <si>
    <t>SKS-kode: WTJRNJLXX
Prisstigning i radioaktivtlægemiddel  til kr.2500/ dosis</t>
  </si>
  <si>
    <t>SKS-kode: WLHMAXXXX
pga. forenkling af undersøgelsen</t>
  </si>
  <si>
    <t>SKS-kode: WPQSTXXK2
Kræver ca. 8 timer bio + ½ time læge</t>
  </si>
  <si>
    <t>Ny kode: WMBCPXYBH</t>
  </si>
  <si>
    <t>Ny kode: WDTPSC1XX</t>
  </si>
  <si>
    <t>Ny kode: WHBPDRBXX</t>
  </si>
  <si>
    <t>  </t>
  </si>
  <si>
    <t>Ny kode: WMBPSXYBH</t>
  </si>
  <si>
    <t>J</t>
  </si>
  <si>
    <t>Dansk Cardiologisk Selskab</t>
  </si>
  <si>
    <t>Akut myokardieinfarkt med ST-elevation, proceduregrp. C
Akut myokardieinfarkt med ST-elevation, proceduregrp. B
Akut koronarsyndrom uden ST-segment elevation, proceduregrp. C
Akut koronarsyndrom uden ST-segment elevation, proceduregrp. B 
Stabil iskæmisk hjertesygdom, proceduregrp. B</t>
  </si>
  <si>
    <t xml:space="preserve">0534
0535
0538
0539
0542
</t>
  </si>
  <si>
    <t>Med en samlet DRG budget-reduktion for MDC05 på 1 mia kroner for 2015 i forhold til 2014 udtrykker DCS hermed stærk mistanke om, at de foreslåede 2015 takster er fejlbehæftede i forhold til de reelle omkostninger. 
Mange af de beregnede takster har meget store ændringer uden nogen generel tendens. Med variationer i takstændringer fra + 60% til – 68% må man mistænke betydelige tekniske fejl beroende på manglende validitet af data fra omkostningsdatabaserne.   
Det kan forekomme realistisk, at der sker fald i DRG takster på baggrund af lavere utensilie-priser. Dette gælder fx for stents og ICD-enheder. 
Generel effektivisering af patienthåndtering kan resultere i lavere sundhedsudgifter. Omvendt udredes og behandles patienter tiltagende omfattende i ambulante forløb, hvorfor den stationære patienthåndtering vedrører tungere forløb, som ikke vurderes at være blevet billigere.  
Samlet set finder vi ikke, at en ændret patienthåndtering og ændrede utensiliepriser berettiger til en takstreduktion som foreslået. Derimod foreslår vi nedenstående begrundede takst-ændringer i forhold til taksterne for 2014. 
Takstfastsættelsen for disse grupper foretaget forskelligt. Det drejer sig om DRG grupper, som indeholder nært beslægtede patientforløb med ballonudvidelse. De 5 grupper har undergået vidt forskellig takstfastsættelse: 0535 og 0539 er sat til +12% mens 0534, 0538 og 0542 er beregnet til hhv -22%, -24%  og -28%.
Denne forskelshandling af takstudregningen for de 5 grupper er meningsløs bedømt ud fra patientforløb og utensilieomkostninger.</t>
  </si>
  <si>
    <t>DCS foreslår, at 2015 taksten for alle 5 grupper sættes til +12% med fradrag af 3.000 kroner pga lavere stentpriser.</t>
  </si>
  <si>
    <t>Der er ikke sket ændringer i hverken patienthåndtering eller udgifter til utensilier. Den beregnede takst på 35.703 kroner (fald på 68%) dækker knap nok udgiften til utensilier.</t>
  </si>
  <si>
    <t>DCS foreslår, at 2015 taksten sættes til +12%</t>
  </si>
  <si>
    <t>Takstreduktion på -55% er fejlbehæftet i forhold til de reelle udgifter. Der er sket en utensilie prisreduktion på ca 50.000 kroner fra 2011 til 2013, men ellers er forløbet uændret.</t>
  </si>
  <si>
    <t>0504
0514</t>
  </si>
  <si>
    <t>Hjerteoperation med indsættelse af ICD
Implantation af ICD med udvidelse af koronararterie</t>
  </si>
  <si>
    <t>Samme argument som vedr. 0515 Implantation af ICD: Takstreduktion på -55% er fejlbehæftet i forhold til de reelle udgifter. Der er sket en utensilie prisreduktion på ca 50.000 kroner fra 2011 til 2013, men ellers er forløbet uændret.</t>
  </si>
  <si>
    <t xml:space="preserve">0533
0534
0537
0538
0541
</t>
  </si>
  <si>
    <t>Hjerteoperation m. stentklap</t>
  </si>
  <si>
    <t>0508</t>
  </si>
  <si>
    <t>91.954
70.442
97.123
60.060
38.451</t>
  </si>
  <si>
    <t>121.582
62.849
123.791
53.586
53.642</t>
  </si>
  <si>
    <t>295.220
208.306</t>
  </si>
  <si>
    <t>464.067
285.911</t>
  </si>
  <si>
    <t>Der er sket en reduktion i utensiliepris på ca 10.000</t>
  </si>
  <si>
    <t>0552
0553
0554 
0557
0558
0559
0561
0562</t>
  </si>
  <si>
    <t xml:space="preserve">Ingen ændringer i patienthåndtering eller nævneværdige fald i utensiliepriser. </t>
  </si>
  <si>
    <t xml:space="preserve">DCS foreslår, at taksten sættes til +12% </t>
  </si>
  <si>
    <t>DCS foreslår, at taksten sættes til +12% med reduktion af 10.000 kr</t>
  </si>
  <si>
    <t>DCS foreslår, at 2015 taksten sættes til +12% med reduktion på 50.000 kr.</t>
  </si>
  <si>
    <t>SP04C
SP04D
SP04E</t>
  </si>
  <si>
    <t>Takst ses ikke i det fremsendte materiale</t>
  </si>
  <si>
    <t>Sammedagspakker: Cardiologi</t>
  </si>
  <si>
    <t>0535
0535</t>
  </si>
  <si>
    <t>Grupperne 0539 og 0535 ses ikke i Bilag 5.4</t>
  </si>
  <si>
    <t>K</t>
  </si>
  <si>
    <t>Generel kommentar vedr. Operationsvægte</t>
  </si>
  <si>
    <t>Sygehus 1301. Rigshospitalet</t>
  </si>
  <si>
    <t>Generel kommentar vedr. Omkostningsdatabasen for Rigshospitalet</t>
  </si>
  <si>
    <t xml:space="preserve">Bispebjerg Hospital
Frederiksberg Hospital
</t>
  </si>
  <si>
    <t>Bispebjerg og Frederiksberg Hospitaler har få patienter i gruppen, da trombolysepatienter typisk udskrives med adiagnosen DZ508, og derfor grupperes til Rehabiliteringsgruppen (DRG 2302). Der er dog ønsker om at ensrettet kodning og der er tale om at kode patienter så de grupperer til trombolysegruppen. Alene udgiften til vagten koster op til 35.000 kr. dag og der er typisk 2 patienter pr. dag plus nogle som viser sig ikke at skulle have behandlingen. Det er KUN til selve det kliniske personale der foretager behandlingen på afdelingen. Dertil kommer øvrigt personale (portører mv) Øvrige drifts udgifter og overhead. Samt ikke mindst udgifter til efterfølgende pleje og genoptræning på sengeafsnit.</t>
  </si>
  <si>
    <t>Udgifter til daglig trombolyse vagt:</t>
  </si>
  <si>
    <t>Timer</t>
  </si>
  <si>
    <t>kr</t>
  </si>
  <si>
    <t>Speciallæge dag</t>
  </si>
  <si>
    <t>Speciallæge vagt/hverdag</t>
  </si>
  <si>
    <t>Speciallæge vagt/weekend</t>
  </si>
  <si>
    <t>Speciallæge Radiolog</t>
  </si>
  <si>
    <t>På Bispebjerg og Frederiksberg Hospitaler er der typist 2 patienter pr dag, samt nogle som viser sig ikke at skulle have behandlingen</t>
  </si>
  <si>
    <t>0304</t>
  </si>
  <si>
    <t>Operationer på hoved og hals, kategori 1-3, m. robot</t>
  </si>
  <si>
    <t xml:space="preserve">Rigshospitalet har med glæde konstateret, at SSI har imødekommet vores ønske om oprettelse af en ny robotgruppe, der afspejler vores behandlingstilbud til patienter med kræft i svælg, strube eller spiserør. Taksten på 39.915 kr. afspejler dog ikke de faktiske omkostninger ved behandlingen.
Ved indmeldelse af forslag til ændringer i grupperingslogikken for 2015 fremsendte Rigshospitalet en omkostningsberegning på meromkostningen ved brug af robot. 
SSI synes at have misforstået omkostningsberegningen og kun medtaget meromkostningen ved brug af robot Den samlede takst jf. omkostningsberegning er beregnet til at udgøre 105.040 kr. </t>
  </si>
  <si>
    <t>MDC 05</t>
  </si>
  <si>
    <t>Sygdomme i kredsløbsorganerne</t>
  </si>
  <si>
    <t>Med baggrund i problematikken omkring hjerteområdet i operationsvægtningen anbefales det at SSI undgår væsentlige ændringer i taksterne med baggrund i Rigshospitalets omkostninger.  Eksempelvis kan nævnes DRG0504 Hjerteoperation med implantation af ICD, DRG0511 By-pass-operation, DRG0512 Reoperationer efter hjerteoperation og DRG0515Implantation af ICD. Til sidstnævnte gruppe kan det særligt nævnes, at 2015-taksten kun lige svarer til omkostningen til implantatet.</t>
  </si>
  <si>
    <t>Eksempel på supplerende oplysninger i høringssvar</t>
  </si>
  <si>
    <t>Timesatser i kr.</t>
  </si>
  <si>
    <t>Læge(inkl. Anæstesi)</t>
  </si>
  <si>
    <t>Op. Sygeplej.</t>
  </si>
  <si>
    <t xml:space="preserve"> </t>
  </si>
  <si>
    <t>Rengøring/portør</t>
  </si>
  <si>
    <t>Omk. pr. indlæggelsesdag i kr.</t>
  </si>
  <si>
    <t>Patient</t>
  </si>
  <si>
    <t>Indlæggelslængde: 3 dage</t>
  </si>
  <si>
    <t>Operationstid: 2 timer</t>
  </si>
  <si>
    <t>Gulvpersonale: 3 personer</t>
  </si>
  <si>
    <t>Øvrig drift</t>
  </si>
  <si>
    <t>Omkostninger</t>
  </si>
  <si>
    <t>Indlæggelsesdage</t>
  </si>
  <si>
    <t>Operation</t>
  </si>
  <si>
    <t>Kirurg</t>
  </si>
  <si>
    <t>Uddan. tandl.</t>
  </si>
  <si>
    <t>Gulvpers.</t>
  </si>
  <si>
    <t>SOS</t>
  </si>
  <si>
    <t xml:space="preserve">  </t>
  </si>
  <si>
    <t>0543</t>
  </si>
  <si>
    <t>Indlæggelslængde: 1 dage</t>
  </si>
  <si>
    <t>Operationstid: 1 timer</t>
  </si>
  <si>
    <t>Gulvpersonale: 2 personer</t>
  </si>
  <si>
    <t xml:space="preserve">0556 </t>
  </si>
  <si>
    <t>Operationstid: 4 timer</t>
  </si>
  <si>
    <t>Gulvpersonale: 4 personer</t>
  </si>
  <si>
    <t>K_Region Hovedstadens høringssvar.</t>
  </si>
  <si>
    <t>ICD;enkeltk.</t>
  </si>
  <si>
    <t>ICD, dobbelt</t>
  </si>
  <si>
    <t>ICD,BIV</t>
  </si>
  <si>
    <t>2012-2014</t>
  </si>
  <si>
    <t>2010-2012</t>
  </si>
  <si>
    <t>PM pakke (DK-K20151)</t>
  </si>
  <si>
    <t>Neutralplade til elkoagulator (E7507)</t>
  </si>
  <si>
    <t>Peel away sheath</t>
  </si>
  <si>
    <t>Handsker</t>
  </si>
  <si>
    <t>Medicin</t>
  </si>
  <si>
    <t>Dropsæt</t>
  </si>
  <si>
    <t>Stødpads (2294070)</t>
  </si>
  <si>
    <t>Div. Forbrugsart.(filter til sug, hat, maske mm)</t>
  </si>
  <si>
    <t>Support</t>
  </si>
  <si>
    <t>Home moni</t>
  </si>
  <si>
    <t>ICD</t>
  </si>
  <si>
    <t>Ventrikel</t>
  </si>
  <si>
    <t>Atrie</t>
  </si>
  <si>
    <t>Biv elek</t>
  </si>
  <si>
    <t>Utensilier</t>
  </si>
  <si>
    <t>PCI</t>
  </si>
  <si>
    <t>PCI BMS</t>
  </si>
  <si>
    <t>PCI DES</t>
  </si>
  <si>
    <t>KAG pakke</t>
  </si>
  <si>
    <t>KAG samlet pris</t>
  </si>
  <si>
    <t>PCI  pris</t>
  </si>
  <si>
    <t>Kontrast ca 100 ml</t>
  </si>
  <si>
    <t>Handsker + div.</t>
  </si>
  <si>
    <t>Lokalbedøvelse+</t>
  </si>
  <si>
    <t>heparin/hep.NaCl</t>
  </si>
  <si>
    <t xml:space="preserve">Diagn katetre 3 </t>
  </si>
  <si>
    <t>Sheat 1</t>
  </si>
  <si>
    <t>AngioSeal</t>
  </si>
  <si>
    <t>Pressure wire 1/3</t>
  </si>
  <si>
    <t>y-rør</t>
  </si>
  <si>
    <t>yderligere kontrast</t>
  </si>
  <si>
    <t>Guidewire 2</t>
  </si>
  <si>
    <t>Guidingkath.x2</t>
  </si>
  <si>
    <t>indeflator</t>
  </si>
  <si>
    <t>Ballonkateter*2</t>
  </si>
  <si>
    <t>BMS pr. prd.</t>
  </si>
  <si>
    <t>DES pr. pcd.</t>
  </si>
  <si>
    <t>I ALT:</t>
  </si>
  <si>
    <t>ANDRE UTENSILIER:</t>
  </si>
  <si>
    <t>BMS aftaler</t>
  </si>
  <si>
    <t>DES aftaler</t>
  </si>
  <si>
    <t>IVUS kateter</t>
  </si>
  <si>
    <t>Swan Ganz kateter</t>
  </si>
  <si>
    <t>MEDICIN:</t>
  </si>
  <si>
    <t>Rheo-Pro</t>
  </si>
  <si>
    <t>pr. procedure</t>
  </si>
  <si>
    <t>Angiox</t>
  </si>
  <si>
    <t>Integrillin</t>
  </si>
  <si>
    <t>PM, enkeltkammer</t>
  </si>
  <si>
    <t>PM, dobbelkammer</t>
  </si>
  <si>
    <t>PM, VDD</t>
  </si>
  <si>
    <t>PM,BIV</t>
  </si>
  <si>
    <t>2011-2013</t>
  </si>
  <si>
    <t>2009-2011</t>
  </si>
  <si>
    <t>Peel away sheath (405152)</t>
  </si>
  <si>
    <t>Målekabler 1/10 (2292)</t>
  </si>
  <si>
    <t>Elkoagulator 1/10 (E2100)</t>
  </si>
  <si>
    <t xml:space="preserve">PM </t>
  </si>
  <si>
    <t>VDD-elektrode</t>
  </si>
  <si>
    <t>RFA</t>
  </si>
  <si>
    <t>RFA CARTO</t>
  </si>
  <si>
    <t>RFA NAVX</t>
  </si>
  <si>
    <t>RFA transseptal</t>
  </si>
  <si>
    <t>RFA CARTO m.transseptal</t>
  </si>
  <si>
    <t>RFA NAVX m.transseptal</t>
  </si>
  <si>
    <t xml:space="preserve">RFA NAVX m. Hansen </t>
  </si>
  <si>
    <t>CRYO</t>
  </si>
  <si>
    <t>2009-11</t>
  </si>
  <si>
    <t>Sheaths</t>
  </si>
  <si>
    <t>EKG (M-00-S)</t>
  </si>
  <si>
    <t>Diverse (forlængerslanger, guidewirer mm)</t>
  </si>
  <si>
    <t>Diverse (barbergrej, hat mm)</t>
  </si>
  <si>
    <t>Diagnostisk kath CS (81107)</t>
  </si>
  <si>
    <t>Kabler x 1/10</t>
  </si>
  <si>
    <t>Diagnostisk kath 4-polet (041005JM)</t>
  </si>
  <si>
    <t>Diagnostisk kath 6-polet (402011)</t>
  </si>
  <si>
    <t>Diagnostisk kath 8-polet (80043)</t>
  </si>
  <si>
    <t>Ablations kath</t>
  </si>
  <si>
    <t>Transsept.kanyle (407201)</t>
  </si>
  <si>
    <t>Trans. Sheath (200097)</t>
  </si>
  <si>
    <t>CARTO ablations kath</t>
  </si>
  <si>
    <t>NAVX ablationskath (A088016)</t>
  </si>
  <si>
    <t>Ref. Pads Carto (CREFP6)</t>
  </si>
  <si>
    <t>Ref Pads Navx (EN0010-002)</t>
  </si>
  <si>
    <t>Lasso/spiral</t>
  </si>
  <si>
    <t>Temp. Måler</t>
  </si>
  <si>
    <t>Hansen kit (abl.kath+sheath mm)</t>
  </si>
  <si>
    <t>Neutralplade til ablator</t>
  </si>
  <si>
    <t>Coolpoint tubingset (85785)/coolflow</t>
  </si>
  <si>
    <t>Sterilt drape (100030647)</t>
  </si>
  <si>
    <t>Gas til Cryo (1 flaske 4.500 kr til 5 cryo)</t>
  </si>
  <si>
    <t>En samlet pakke til Cryo</t>
  </si>
  <si>
    <t xml:space="preserve">I ALT </t>
  </si>
  <si>
    <t>Se link til beregning: 'Omkostningsoplysn. MDC05'</t>
  </si>
  <si>
    <t>Jr. Svar til MDC 05</t>
  </si>
  <si>
    <t>0511</t>
  </si>
  <si>
    <t>By-pass-operation</t>
  </si>
  <si>
    <t>0512</t>
  </si>
  <si>
    <t>Reoperationer efter hjerteoperation</t>
  </si>
  <si>
    <t>1501. Gentofte Hospital</t>
  </si>
  <si>
    <t>Stabil iskæmisk hjertesygdom eller medfødte hjertesygdomme, pat mindst 15 år, proceduregrp. A</t>
  </si>
  <si>
    <t>0557</t>
  </si>
  <si>
    <t>Hjertearytmi og synkope, proceduregrp. B</t>
  </si>
  <si>
    <t>K_Region Hovedstadens høringssvar 
Gentoftes høringssvar</t>
  </si>
  <si>
    <t>Faldet i DRG taksten for ICD behandlinger skal være mindre på baggrund omkostningsberegning. Forslag til takst 232.459
Se link til 'øvrig drift MDC05'</t>
  </si>
  <si>
    <t>Vedr. KAG patienter med procedure UXAC85* Faldet i DRG takst skal være mindre på baggrund omkostningsberegning. Forslag til takst 10.806. (omk. beregningen er foretaget på stationære patienter. Ambulanttaksten 6.970)
Se link til 'øvrig drift MDC05'</t>
  </si>
  <si>
    <t>RFA patienter med procedure koderne BFFB*. Faldet i DRG takst skal være mindre på baggrund omkostningsberegning. Forslag til takst 100.336
Se link til 'øvrig drift MDC05'</t>
  </si>
  <si>
    <t>RFA patienter med procedure koderne BFFB*.Faldet i DRG takst skal være mindre på baggrund omkostningsberegning. Forslag til takst 57.659
Se link til 'øvrig drift MDC05'</t>
  </si>
  <si>
    <t>Plastikkirurgisk afd V, Herlev Hospital. Ledende Overlæge Karin Dahlstrøm. Kontaktperson: Jens Morten Haugård, Økonomi- og Planlægningsafd. 38689828.</t>
  </si>
  <si>
    <t>Reduktion til 50.262 kr. Ved operation deltager 2 læger, heraf minimum 1 speciallæge og 2 sygeplejersker. Operationstid 3,5 time. Der anvendes 2 implantater á 4.000-5.000 kr + moms og desuden i flere tilfælde en dermal matriks (Strattice), der koster 17.400 kr - 21.800 kr/stk. + moms. Disse indgår ikke i implantatlisten for Herlev Hospitals fordelingsregnskab for 2013, men vil blive forsøgt indarbejdet fremover. I Omkostningsdatabasen er taksten for Herlev beregnet til 87.676 kr, hvilket er en stigning ift. 2014. Vi har lavet flere end fremgår heri, hvilket kunne tyde på en grupperings- eller kodefejl/afskæring af data. Herlev Hospital anbefalder derfor, at taksten som minimum sættes til 2014-niveau.</t>
  </si>
  <si>
    <t>Sekundær rekonstruktion af bryst med protese eller transplantat, Enkelt</t>
  </si>
  <si>
    <t>Herlev Hospital, økonomi- og planlægningsafdelingen v. Jens Moretn Haugård</t>
  </si>
  <si>
    <t>Den enkeltsidede må ikke være lavere i omkostninger, end den dobbeltsidede (0910); såfremt 0909 ikke sættes til 2014-niveau eller mere korrekt: ændres til 87.676, bør der ses på omkostningsdelene til 0910 også.</t>
  </si>
  <si>
    <t>Body lift efter stort vægttab (Stor MWL)</t>
  </si>
  <si>
    <t>Herlev Hospital - Jens Morten Haugård, på vegne af Ledende overlæge Karin Dahlstrøm, Plastikkirurgisk afd. V, Herlev Hospital</t>
  </si>
  <si>
    <t>Voldsom reduktion. Taksten har dog hele tiden været for høj og er derfor gennemregnet af Herlev Hospital i samarbejde med Plastikkirurgisk afd. V. Taksten ender på 72.600 kr. i 2013-priser.</t>
  </si>
  <si>
    <t>Plastikkirurgi efter stort vægttab (lille MWL)</t>
  </si>
  <si>
    <t>Reduceret ift. 2014. Taksten er derfor gennemregnet af Herlev Hospital i samarbejde med Plastikkirurgisk afd. V. Taksten ender på 49.256 kr. i 2013-priser.</t>
  </si>
  <si>
    <t>Beregning, stor MWL</t>
  </si>
  <si>
    <t>DKDRG0913</t>
  </si>
  <si>
    <t>Tid pr. opr.</t>
  </si>
  <si>
    <t>Kirurg, overlæge</t>
  </si>
  <si>
    <t>Kirurg, afd.læge</t>
  </si>
  <si>
    <t>Lægesekretær</t>
  </si>
  <si>
    <t>Portør</t>
  </si>
  <si>
    <t>Fotograf (x flere efter opr.)</t>
  </si>
  <si>
    <t>Antal indl.dage</t>
  </si>
  <si>
    <t>Omk. pr. pt.</t>
  </si>
  <si>
    <t>Pr. patient</t>
  </si>
  <si>
    <t>Omk. pr. operation, kr.</t>
  </si>
  <si>
    <t>Tid pr. opr., timer</t>
  </si>
  <si>
    <t>Anæstesi personale pr. opr., kr.</t>
  </si>
  <si>
    <t>Anæstesi ø.drift, pr. opr., kr.</t>
  </si>
  <si>
    <t>Klin.biokemi, personale pr. opr., kr.</t>
  </si>
  <si>
    <t>Klin.biokemi, ø.drift pr. opr., kr.</t>
  </si>
  <si>
    <t>Rengøring og portør, pr. opr., kr.</t>
  </si>
  <si>
    <t>Omkostninger, kr.</t>
  </si>
  <si>
    <t>Ø.drift, indl.</t>
  </si>
  <si>
    <t>Operation:</t>
  </si>
  <si>
    <t>Fotograf</t>
  </si>
  <si>
    <t>Ø. drift, kirurgi</t>
  </si>
  <si>
    <t>Ø. drift, anæstesi</t>
  </si>
  <si>
    <t>Klin.biokemi+reng.+portør, løn+ø.drift</t>
  </si>
  <si>
    <t>Samlede direkte udgift til stor MWL, kr.</t>
  </si>
  <si>
    <t>Overhead, 30 %</t>
  </si>
  <si>
    <t>I alt, udgift til stor MWL, kr.</t>
  </si>
  <si>
    <t>K_ Regions Hovedstadens høringssvar
Herlev Hospital - Jens Morten Haugård, på vegne af Ledende overlæge Karin Dahlstrøm, Plastikkirurgisk afd. V, Herlev Hospital</t>
  </si>
  <si>
    <t>Beregning, lille MWL</t>
  </si>
  <si>
    <t>DKDRG0914</t>
  </si>
  <si>
    <t>Samlede direkte udgift til lille MWL, kr.</t>
  </si>
  <si>
    <t>I alt, udgift til lille MWL, kr.</t>
  </si>
  <si>
    <t>1101</t>
  </si>
  <si>
    <t xml:space="preserve">Nyretransplantation, kompliceret </t>
  </si>
  <si>
    <t xml:space="preserve">Taksten falder fra 592.223 kr. til 241.812 kr. Rigshospitalet udgør 36 % af sygehusudskrivningerne i takstberegningsgrundlaget og har en gennemsnitsomkostning på 370.760 kr.  Gennemsnitsomkostningen dækker over 8 udskrivninger fra omkdb2012 til gennemsnit på 197.190 kr. og 10 udskrivninger fra omkdb2013 til gennemsnit på 509.616 kr. i omkdb2013. Dette afspejler ikke en reel omkostningsforskel årene imellem. Omkdb2012 er for lav. Yderligere virker de øvrige 2 sygehuse i takstgrundlaget til at have meget lave ydelsesomkostninger ligesom den almindelige nyretransplantation DRG1102 for et enkelt sygehus lader til at være dyrere end DRG1101. Rigshospitalet anbefaler, at SSI beder de 2 sygehuse validere deres omkostninger til taksten eller alternativt videreføre taksten fra 2014. </t>
  </si>
  <si>
    <t>Operation for hypospadi</t>
  </si>
  <si>
    <t>Taksten falder fra 44.495 kr. til 31.055 kr. og Rigshospitalet står for 41 % af udskrivningerne i takstberegningsgrundlaget. Rigshospitalets gennemsnitsomkostning er på 24.387 kr., hvilket dækker over et gennemsnit på 40.100 kr. i omkdb2012 og 7.897 kr. i omkdb2013. Sidstnævnte er en fejl og det anbefales derfor ikke at ændre taksten i 2015 på baggrund af omkostningsberegningen.</t>
  </si>
  <si>
    <t>MDC 14</t>
  </si>
  <si>
    <t>MDC 14: Fødsel, barsel og sygdomme under svangerskab</t>
  </si>
  <si>
    <t>Hovedparten af Rigshospitalets udskrivninger fra fødselsgrupperne 1416 til 1433 grupperes til 2602 (Ikke gruppér-bar pga. manglende oplysninger) i omkostningsdatabasen for aktiviteten i 2012. Der synes, at være problemer med grupperingen af procedurer og dermed også fordelingen af omkostningerne, hvorfor hovedparten af grupperne i MDC14 ikke afspejler Rigshospitalet aktivitet. Denne fejl er dog rettet for udskrivningerne i 2013. Den store variation mellem årene skaber dog usikkerhed for fastsættelsen af en retvisende takst, hvorfor grundlaget ikke bør benyttes i takstfastsættelsen.</t>
  </si>
  <si>
    <t>Region Hovedstaden. Liselotte Kreilgaard</t>
  </si>
  <si>
    <t>2609</t>
  </si>
  <si>
    <t>Neurorehabilitering</t>
  </si>
  <si>
    <t>Hvorfor er denne takst sat. Der er 5.048 udskr i omkdtb13 og taksterne varierer fra ca 61.000 til 125.000, så hvorfor skal taksten være så meget højere</t>
  </si>
  <si>
    <t>2627</t>
  </si>
  <si>
    <t>Allogen stamcelletransplantation med navlesnorsprodukt</t>
  </si>
  <si>
    <t>Hvorfor er taksten sat. Behandling der udføres på Rigshospitalet omkdtb13 818.490. Skulle man ikke høre RH om det er en realistisk takst</t>
  </si>
  <si>
    <t>2628</t>
  </si>
  <si>
    <t>Allogen stamcelletransplantation, pat. mindst 18 år</t>
  </si>
  <si>
    <t>Hvorfor er taksten sat. Behandling der udføres på Rigshospitalet omkdtb13 342.403. Skulle man ikke høre RH om det er en realistisk takst</t>
  </si>
  <si>
    <t>2629</t>
  </si>
  <si>
    <t>Allogen stamcelletransplantation, pat. 0-17 år</t>
  </si>
  <si>
    <t>Hvorfor er taksten sat. Behandling der udføres på Rigshospitalet omkdtb13 823.944. Skulle man ikke høre RH om det er en realistisk takst</t>
  </si>
  <si>
    <t>Vi har I tidligere års høringssvar haft de plastikkirurgiske grupper i fokus i forbindelse med indførelsen af Orbit vægte. I 2011 blev et takstfald afvist pga. manglende vægte for koderne i det oprindelige operationsvægtningssystem. I 2012 var vægtene på plads, men omkostninger alligevel så lave at taksten blev videreført. I år foreslås der et væsentligt takstfald fra 213.937 til 99.541 kr. Rigshospitalet har ca. 44 % af udskrivningerne i denne gruppe. Rigshospitalets gennemsnitsomkostning er beregnet til ca. 75 t.kr., ca. 50 t.kr. i omkdb2012 og ca. 100 t.kr. i omkdb2013. For de 2 år varierer omkostningerne for de enkelte sygehusudskrivninger fra ca. 6 t.kr. ca. 400 t.kr. En væsentlig del af variationen skyldes manglende operationsomkostninger. Da Rigshospitalets del af takstberegningsgrundaget ikke er retvisende indstilles det at taksten fra 2014 videreføres.</t>
  </si>
  <si>
    <r>
      <t xml:space="preserve">Reduktion med 114.396 kr.  Ved gennemgang af fordelinger i OmkDB ser det ud til, at en alt for lav andel af anæstesi/OP-omkostninger tilføres (53.365kr for Herlev), idet der er tale om 10-12 timers operationstid af to samtidige operationshold (hhv. bryst og mave). Orbit-OP-vægte fanger ikke tilstædeværelsen af 2 samtidige kirurgiske teams. AN/OP-delen er derfor genberegnet af Herlev Hospital, således taksten ender på </t>
    </r>
    <r>
      <rPr>
        <b/>
        <sz val="11"/>
        <color indexed="8"/>
        <rFont val="Calibri"/>
        <family val="2"/>
      </rPr>
      <t>148.377</t>
    </r>
    <r>
      <rPr>
        <sz val="11"/>
        <color theme="1"/>
        <rFont val="Calibri"/>
        <family val="2"/>
        <scheme val="minor"/>
      </rPr>
      <t xml:space="preserve"> kr (2013-prisniveau)</t>
    </r>
  </si>
  <si>
    <t xml:space="preserve">Se link til beregning </t>
  </si>
  <si>
    <t>sengedagstakst</t>
  </si>
  <si>
    <t>Fra OmkDB- 2015 - sgh1516</t>
  </si>
  <si>
    <t>SengeOmk</t>
  </si>
  <si>
    <t>Ok</t>
  </si>
  <si>
    <t>AN Spl</t>
  </si>
  <si>
    <t>Uger</t>
  </si>
  <si>
    <t>Meget plejekrævende patienter</t>
  </si>
  <si>
    <t>Kba</t>
  </si>
  <si>
    <t>Effektive timer:</t>
  </si>
  <si>
    <t>KIA</t>
  </si>
  <si>
    <t xml:space="preserve">Årlig timer i 52 uger: </t>
  </si>
  <si>
    <t>OP/AN</t>
  </si>
  <si>
    <t>Fejl - Orbitvægte fanger ikke 2 komplette hold af kirurger, der opererer samtidig</t>
  </si>
  <si>
    <t>Ferie inkl 6. uge</t>
  </si>
  <si>
    <t>Indlæggelslængde: 8,35</t>
  </si>
  <si>
    <t>Opv</t>
  </si>
  <si>
    <t>1 ugers kursus</t>
  </si>
  <si>
    <t>Operationstid:10,7timer</t>
  </si>
  <si>
    <t>Diverse</t>
  </si>
  <si>
    <t>5% sygdom</t>
  </si>
  <si>
    <t>5% fravær af 42 uger:</t>
  </si>
  <si>
    <t>Takstforslag</t>
  </si>
  <si>
    <t>2 ugers søgne/helligdage, m.m.</t>
  </si>
  <si>
    <t>Betalt frokost 1/2 time 42 uger</t>
  </si>
  <si>
    <t>OP Spl</t>
  </si>
  <si>
    <t>Kr</t>
  </si>
  <si>
    <t>Timeløn</t>
  </si>
  <si>
    <t>Kr/time</t>
  </si>
  <si>
    <t>Gns 2012</t>
  </si>
  <si>
    <t>AN/OP</t>
  </si>
  <si>
    <t>P/L:</t>
  </si>
  <si>
    <t>2012-&gt;2013</t>
  </si>
  <si>
    <t>Timeløn2013</t>
  </si>
  <si>
    <t>OPV</t>
  </si>
  <si>
    <t>Tid</t>
  </si>
  <si>
    <t>Tillæg +25%</t>
  </si>
  <si>
    <t>Samlet tid</t>
  </si>
  <si>
    <t>Div ydelser</t>
  </si>
  <si>
    <t>jf. OmkDB2013</t>
  </si>
  <si>
    <t>OP sygeplejersker</t>
  </si>
  <si>
    <t>KBA</t>
  </si>
  <si>
    <t>Læge - Plastik</t>
  </si>
  <si>
    <t>AN-spl</t>
  </si>
  <si>
    <t>AN-læge</t>
  </si>
  <si>
    <t>Sosu</t>
  </si>
  <si>
    <t>2 ugers kursus mv</t>
  </si>
  <si>
    <t>Løn OP:</t>
  </si>
  <si>
    <t>Øvrig drift OP +31%</t>
  </si>
  <si>
    <t>OP/AN i alt</t>
  </si>
  <si>
    <t>Rengøring, klargøring stue</t>
  </si>
  <si>
    <t>SUC grundbakke</t>
  </si>
  <si>
    <t>Utensilier: specialtråd mv</t>
  </si>
  <si>
    <t xml:space="preserve">Overhead COP, Hospital </t>
  </si>
  <si>
    <t>Implantat i 10 ud af 54 tilfælde</t>
  </si>
  <si>
    <t>I alt AN/OP</t>
  </si>
  <si>
    <t>Note: Ligger én dag på POA inden operation + lang opv, så høje beløb vurderes retvisende.</t>
  </si>
  <si>
    <t>OP SPL</t>
  </si>
  <si>
    <t>1 ugers kursus mv</t>
  </si>
  <si>
    <t>SOSU</t>
  </si>
  <si>
    <t>K_Region Hovedstadens høringssvar
Plastikkirurgisk afd V, Herlev Hospital. Ledende Overlæge Karin Dahlstrøm. Kontaktperson: Jens Morten Haugård, Økonomi- og Planlægningsafd. 38689828.</t>
  </si>
  <si>
    <t>Se link til aktivitet 2013</t>
  </si>
  <si>
    <t>Rækkenr</t>
  </si>
  <si>
    <t>DRGkr</t>
  </si>
  <si>
    <t>POA</t>
  </si>
  <si>
    <t>Sgd</t>
  </si>
  <si>
    <t>OvAfd</t>
  </si>
  <si>
    <t>DRGgrp</t>
  </si>
  <si>
    <t>Anæstesitid</t>
  </si>
  <si>
    <t>Lejetid</t>
  </si>
  <si>
    <t>HeH POA</t>
  </si>
  <si>
    <t>25</t>
  </si>
  <si>
    <t>DRG2648</t>
  </si>
  <si>
    <t>x</t>
  </si>
  <si>
    <t>afdnumm</t>
  </si>
  <si>
    <t>kode</t>
  </si>
  <si>
    <t>år</t>
  </si>
  <si>
    <t>mdr</t>
  </si>
  <si>
    <t>Udskrivninger</t>
  </si>
  <si>
    <t>AkutUdskriv</t>
  </si>
  <si>
    <t>PlanUdskriv</t>
  </si>
  <si>
    <t>Sumofsgd</t>
  </si>
  <si>
    <t>AkutSgd</t>
  </si>
  <si>
    <t>PlanSgd</t>
  </si>
  <si>
    <t>Pat</t>
  </si>
  <si>
    <t>SumOfAMAind</t>
  </si>
  <si>
    <t>SumOfAMAud</t>
  </si>
  <si>
    <t>PPlejevar</t>
  </si>
  <si>
    <t>APlejevar</t>
  </si>
  <si>
    <t>P_A_PlejeVar</t>
  </si>
  <si>
    <t>AmaPleje</t>
  </si>
  <si>
    <t>SumOfPlejedage</t>
  </si>
  <si>
    <t>SidsteOphold</t>
  </si>
  <si>
    <t>Case</t>
  </si>
  <si>
    <t>SumOffødsler</t>
  </si>
  <si>
    <t>SumOfSgdFødsel</t>
  </si>
  <si>
    <t>PlejeVarFødsel1</t>
  </si>
  <si>
    <t>2013125</t>
  </si>
  <si>
    <t>2013225</t>
  </si>
  <si>
    <t>2013325</t>
  </si>
  <si>
    <t>2013425</t>
  </si>
  <si>
    <t>2013525</t>
  </si>
  <si>
    <t>2013625</t>
  </si>
  <si>
    <t>2013725</t>
  </si>
  <si>
    <t>2013825</t>
  </si>
  <si>
    <t>2013925</t>
  </si>
  <si>
    <t>20131025</t>
  </si>
  <si>
    <t>20131125</t>
  </si>
  <si>
    <t>20131225</t>
  </si>
  <si>
    <t>PG08H</t>
  </si>
  <si>
    <t>Jordemoderkonsultation, akut, graviditet</t>
  </si>
  <si>
    <t>Herlev Hospital Økonomi- og Planlægningsafdelingen. V.Jens Morten Haugård i samarbejde med Obstetrisk afd, Herlev Hospital</t>
  </si>
  <si>
    <r>
      <t xml:space="preserve">Sat til skønsmæssigt 3xbasis jordemoderkonsultationløn som følge af 24timers vagtberedskab: 1.285 kr. Se bilag </t>
    </r>
    <r>
      <rPr>
        <b/>
        <sz val="11"/>
        <color indexed="8"/>
        <rFont val="Calibri"/>
        <family val="2"/>
      </rPr>
      <t>Off_HøringssvarDRG2015_Beregningsgrundlag_Jordemoderkonsultationer.xlsx</t>
    </r>
  </si>
  <si>
    <t>PG08I</t>
  </si>
  <si>
    <t>Jordemoderkonsultation, udvidet</t>
  </si>
  <si>
    <r>
      <t xml:space="preserve">Genberegning jf. arket Basis Jordemoderkons. 577 kr. Se endvidere bilag </t>
    </r>
    <r>
      <rPr>
        <b/>
        <sz val="11"/>
        <color indexed="8"/>
        <rFont val="Calibri"/>
        <family val="2"/>
      </rPr>
      <t>Off_HøringssvarDRG2015_Beregningsgrundlag_Jordemoderkonsultationer.xlsx</t>
    </r>
  </si>
  <si>
    <t>PG08J</t>
  </si>
  <si>
    <t>Jordemoderkonsultation, basis</t>
  </si>
  <si>
    <r>
      <t xml:space="preserve">Genberegning jf. arket Basis Jordemoderkons. 496 kr. Se endvidere bilag </t>
    </r>
    <r>
      <rPr>
        <b/>
        <sz val="11"/>
        <color indexed="8"/>
        <rFont val="Calibri"/>
        <family val="2"/>
      </rPr>
      <t>Off_HøringssvarDRG2015_Beregningsgrundlag_Jordemoderkonsultationer.xlsx</t>
    </r>
  </si>
  <si>
    <t>BEMÆRK: Prisniveau 2013</t>
  </si>
  <si>
    <t>Jordemoder</t>
  </si>
  <si>
    <t>Ledelse</t>
  </si>
  <si>
    <t>Sekretær</t>
  </si>
  <si>
    <t>BASIS:</t>
  </si>
  <si>
    <t>Løn</t>
  </si>
  <si>
    <t>Jordemoderløn</t>
  </si>
  <si>
    <t>Sekretærløn</t>
  </si>
  <si>
    <t>Visitation, udvikling mv</t>
  </si>
  <si>
    <t>Tolk:</t>
  </si>
  <si>
    <t>ØD:</t>
  </si>
  <si>
    <t>Rengøring, lys, varme</t>
  </si>
  <si>
    <t>ØD</t>
  </si>
  <si>
    <t>Overhead jf. FR 2013</t>
  </si>
  <si>
    <t>Jordemoderløn mv</t>
  </si>
  <si>
    <t>ØD I ALT</t>
  </si>
  <si>
    <t>K_Region hovedstadens høringssvar
Herlev Hospital Økonomi- og Planlægningsafdelingen. V.Jens Morten Haugård i samarbejde med Obstetrisk afd, Herlev Hospital</t>
  </si>
  <si>
    <t>PG12B</t>
  </si>
  <si>
    <t>Isotopterapi</t>
  </si>
  <si>
    <t>Hvorfor er denne lukket. Så vidt vides er der tale om stråleterapeutisk behandling på linje med brachyterapi, som ikke er lukket og vel heller ikke kan sidestilles med medikamentiel behandling.</t>
  </si>
  <si>
    <t>PG12E</t>
  </si>
  <si>
    <t>Antistof, behandling</t>
  </si>
  <si>
    <t>Hvorfor er denne ikke lukket og flyttet til en pg11* med krav om medicinindgivning. I lighed med forslaget ift med ønsker om grupperingsændringer</t>
  </si>
  <si>
    <t>PG12N</t>
  </si>
  <si>
    <t>PG12Q</t>
  </si>
  <si>
    <t>Immunmodulerende behandling</t>
  </si>
  <si>
    <t>Hvorfor er denne gruppe ikke placeret i sammen med diagnosegrupperne. Grupperingskravet er DD849 og 1.gangsbesøg AAF21. Hvad er egentlig forskellen på et 1. gangsbesøg og journaloptagetse ZZ0150</t>
  </si>
  <si>
    <t>AHG 16</t>
  </si>
  <si>
    <t>Klinisk genetik</t>
  </si>
  <si>
    <t>Taksterne for de kliniske genetiske grupper falder med mellem 29 og 47 pct. Takstfaldet er så markant i forhold til takst 14, at det ikke dækker omkostningerne til behandlingerne. Problemet er, at der i forbindelse med mange af de besøg der falder i PG16 grupperne, laves en eller flere genetiske analyser, som på Rigshospitalet beregningsteknisk registreres som særydelser på et samlet omkostningssted uden et identificerbart cpr-nummer. Omkostningerne fra disse ydelser bliver derfor fordelt ud på mange takster og kobles ikke til de specifikke takster i grupperne under PG16. Det foreslå at taksten fastholdes på niveauet for 2014.</t>
  </si>
  <si>
    <t>Jr. svar til AHG 16</t>
  </si>
  <si>
    <r>
      <rPr>
        <b/>
        <sz val="11"/>
        <color indexed="8"/>
        <rFont val="Times New Roman"/>
        <family val="1"/>
      </rPr>
      <t xml:space="preserve">Operationsvægte </t>
    </r>
    <r>
      <rPr>
        <sz val="11"/>
        <color theme="1"/>
        <rFont val="Times New Roman"/>
        <family val="1"/>
      </rPr>
      <t xml:space="preserve">- SSI har anvendt Orbit-vægte til brug for fordelingen af opera-tionsomkostninger for så vidt angår hospitalerne i Region Hovedstaden. Desværre bruger Rigshospitalets Hjertecenter kun Orbit til booking og ikke til registrering af den udførte operation. Rigshospitalet har derfor været i dialog med SSI i håb om, at det gamle operationsvægtssystem kunne benyttes for hjerteområdet. På falderebet glippede det desværre at få det med, hvorfor Rigshospitalets operationsomkostninger vedrørende MDC5 desværre ikke bliver fordelt korrekt. Udregning af retvisende operationsvægte fra Orbit er kompleks, idet der både skal tages højde for tiden og for ressourceindsatsen. Dertil skal det sikres, at man får siet de områder/afdelinger fra hvor Orbit ikke benyttes fuldt ud og derved ikke giver et retvisende grundlag for en vægtberegning. Det bør derfor overvejes om det vil være muligt at få en klinisk validering af k-kodevægtningen. Desuden bør det overvejes hvordan vi bedst muligt i fællesskab kan få valideret om fordelingen af operationsomkostninger ud på de enkelte patienter og DRG-grupper fungerer efter hensigten. Eksempelvis har vi i tidligere høringssvar set nærmere på de plastikkirurgiske grupper, som faldt igennem i det gamle operationsvægtssystem, idet flere væsentlige koder ikke indgik med vægte. Med Orbit er disse koder blevet vægtet, men alligevel må vi konstatere, at flere af patienterne i eksempelvis DRG 2650 Rekonstruktion med frie vaskulariserede lapper ikke har fået tilført operationsomkostninger eller alene har fået tilført operationsomkostninger for få hundrede kroner. Fejlmulighederne er mange, men vi må konstatere at vi på trods at de mange tilgængelige værktøjer endnu ikke har været i stand til at lokalisere den specifikke årsag til at kæden i nogle tilfælde hopper af. </t>
    </r>
  </si>
  <si>
    <r>
      <rPr>
        <b/>
        <sz val="11"/>
        <color indexed="8"/>
        <rFont val="Times New Roman"/>
        <family val="1"/>
      </rPr>
      <t xml:space="preserve">Omkostningsdatabaser for RH </t>
    </r>
    <r>
      <rPr>
        <sz val="11"/>
        <color theme="1"/>
        <rFont val="Times New Roman"/>
        <family val="1"/>
      </rPr>
      <t xml:space="preserve">- Grundlaget for takstberegning 2015 er omkost-ningsdatabase 2012 og 2013. Vi har konstateret, at der især for de indlagte patienter er en stor variation årene imellem for omkostningsniveauet og aktiviteten indenfor de enkelte DRG-grupper og på MDC'ere. Dette skaber usikkerhed omkring takstberegningsgrundlaget for Rigshospitalet. I 2013 er vi overgået til et nyt fordelingsregnskabsværktøj samt overgået til at SSI benytter deres egne aktivitetsdataudtræk til omkostningsdatabasen. Der må derfor for-ventes en hvis variation. Variationen lader dog til at skyldes mere end hvad ændret struktur i fordelingsregnskab og ændret struktur i aktivitetsgrundlag kan forklare. Særligt ser der ud til at være udfordringer med omkdb2012. Den er kraftig fejlbehæftet for MDC14, idet der stort ikke grupperes udskrivninger hertil, jf. tabel 1 (se venligst vedhæftede notat) næste side med opgørelsen over taksberegningsgrundlag for sygehus nr. 1301 opdelt på de 2 omkostningsdatabase år. Dertil kan eksempelvis nævnes kraftige forskydninger årene imellem for MDC 9, 15 og 26 hvor omkostninger og aktivitet ikke følger hinanden, jf. ligeledes tabel 1. Ser man isoleret på aktiviteten og sammenligner omkdb2012 (tillagt de udeladte observationer) med DOSA data fra samme år er der for 4 MDC grupper en forskel på mere end +/- 20 pct. for antallet af udskrivninger i de enkelte grupper, hhv. MDC 3, 14, 15 og 26.  Generelt er det ligeledes et usikkerhedsmoment, at den gennemsnitlige omkostning i Rigshospitalets takstberegningsgrundlag for ca. 33 % af DRG-grupperne stiger eller falder med mere en 50 % fra omkdb2012 til omkdb2013.  Dertil er der ca. 8 % af DRG-grupperne der slet ikke fremgår af omkdb2012 (enkelte af disse dog korrekt uden aktivitet). Set som gennemsnit for hele landet er andelen af DRG-grupper med en udvikling på +/- 50 % i den gennemsnitlige omkostning fra takstberegnings-grundlagets omkdb2012 til takstberegningsgrundlagets omkdb2013 heldigvis lavere, kun ca. 13 %. Ud fra ovennævnte udvikling tyder det på, at der både er vanskeligheder med grupperingen og omkostningsfordelingen for 2012 data for Rigshospitalet. Dette afspejles også i at ca. 10.000 observationer udelades fra omkdb2012 pga. manglende eller for lave omkostninger (type 5 og 6 udeladelser). </t>
    </r>
  </si>
  <si>
    <t>Dansk Selskab for Medicinsk Genetik, DSMG.</t>
  </si>
  <si>
    <t>L</t>
  </si>
  <si>
    <t>PG16A
PG16B
PG16C
PB16D</t>
  </si>
  <si>
    <t xml:space="preserve">Der er generelt mange store udsving i de foreløbige takster for 2015 i forhold til 2014, hvilket virker påfaldende på baggrund af, at taksterne er blevet beregnet og fastsat gennem efterhånden en del år.
Konsekvensberegningen på specialeniveau (den rettede version udsendt 21. maj 2014) viser markante ændringer på først og fremmest følgende områder:
1. Neurologi, ambulante patienter
Værdien falder med 49% eller 721 mio.kr. på landsplan.
En væsentlig forklaring er nedlæggelsen af proceduregruppe PG12C Biologisk modificerende stof. For HE Vest grupperer hovedparten af besøgene fra PG12C i 2015 til medicingrupperne PG11B og PG11C, men
næsten 1000 besøg grupperer til diagnosegrupperne DG30M Neurologi og DG30L Cancer samt BG05G Telefonkonsultationer. Værditabet udgør 36 mio.kr. Det virker som om nogle af de 26 behandlingskoder, der i 2014 grupperer til PG12C ikke er overført til medicingrupperne.  
2. Diagnostisk radiologi
Værdien stiger med 70% eller 719 mio. kr. på landsplan.
Da langt de fleste radiologiske proceduregrupper PG14* stort set er uændrede fra 2014 til 2015 skyldes stigningen en fejl i konsekvensberegningen, idet besøgstaksten er medtaget for alle røntgenbesøg i 2015. 
Denne fejl betyder også, at konsekvensberegningen på hospitalsniveau ikke er retvisende.
Blandt de radiologiske proceduregrupper er det kun PG14N Ukompliceret mammografi, der viser en markant stigning på 51% fra 383 kr. til 580 kr. Begrundelsen for denne stigning fremgår ikke af materialet.
Stigningen virker påfaldende, da taksten i perioden 2011-2014 har ligget i intervallet 367 kr. – 425 kr.      </t>
  </si>
  <si>
    <t>Dansk Selskab for Plastik- og Rekonstruktionskirurgi, Troels Tei</t>
  </si>
  <si>
    <t xml:space="preserve">0909 er billigere end 0910, det bør være omvendt, så rekonstruktion af enkelt bryst er billigere end rekonstruktion af dobbelt bryst. </t>
  </si>
  <si>
    <t xml:space="preserve">Taksten falder mere end 50%. </t>
  </si>
  <si>
    <t>se link til beregning</t>
  </si>
  <si>
    <t>Postbariatrisk operationskodning</t>
  </si>
  <si>
    <t>For alle gælder</t>
  </si>
  <si>
    <t>A-diagnose:</t>
  </si>
  <si>
    <t>DE68.9 Overernæring, følger af</t>
  </si>
  <si>
    <t>B-DIAGNOSE:</t>
  </si>
  <si>
    <r>
      <t>DZ98.0C</t>
    </r>
    <r>
      <rPr>
        <sz val="12"/>
        <color theme="1"/>
        <rFont val="Cambria"/>
        <family val="1"/>
      </rPr>
      <t xml:space="preserve">  Tilstand med gastrik bypass</t>
    </r>
  </si>
  <si>
    <r>
      <t>ZDW63C</t>
    </r>
    <r>
      <rPr>
        <sz val="12"/>
        <color theme="1"/>
        <rFont val="Cambria"/>
        <family val="1"/>
      </rPr>
      <t xml:space="preserve"> BMI TAB (&gt; 15 )</t>
    </r>
  </si>
  <si>
    <t>PROCEDURE:</t>
  </si>
  <si>
    <t>PROCEDUREKODE:</t>
  </si>
  <si>
    <t xml:space="preserve">Gruppe </t>
  </si>
  <si>
    <t>Takst</t>
  </si>
  <si>
    <r>
      <t>ØVRE KROPSLØFT</t>
    </r>
    <r>
      <rPr>
        <sz val="12"/>
        <color theme="1"/>
        <rFont val="Cambria"/>
        <family val="1"/>
      </rPr>
      <t xml:space="preserve"> -</t>
    </r>
  </si>
  <si>
    <r>
      <t>KHAD40B</t>
    </r>
    <r>
      <rPr>
        <sz val="12"/>
        <color theme="1"/>
        <rFont val="Cambria"/>
        <family val="1"/>
      </rPr>
      <t xml:space="preserve">  </t>
    </r>
  </si>
  <si>
    <t>Udvidet mastopexi</t>
  </si>
  <si>
    <t>913 - Body lift efter stort vægttab</t>
  </si>
  <si>
    <r>
      <t>KQBJ05A</t>
    </r>
    <r>
      <rPr>
        <sz val="12"/>
        <color theme="1"/>
        <rFont val="Cambria"/>
        <family val="1"/>
      </rPr>
      <t xml:space="preserve">  </t>
    </r>
  </si>
  <si>
    <t>Korrektion af slap el. overskydende hud øvre ryg</t>
  </si>
  <si>
    <t>KZYC30</t>
  </si>
  <si>
    <t>Peroperativ vending af pt. I GA</t>
  </si>
  <si>
    <r>
      <t>BRACHIOPLASTIK</t>
    </r>
    <r>
      <rPr>
        <sz val="12"/>
        <color theme="1"/>
        <rFont val="Cambria"/>
        <family val="1"/>
      </rPr>
      <t xml:space="preserve"> -</t>
    </r>
  </si>
  <si>
    <t>KQCJ05A</t>
  </si>
  <si>
    <t>Brachioplastik</t>
  </si>
  <si>
    <t>914 Plastikkirurgi efter stort vægttab</t>
  </si>
  <si>
    <t>KQCJ00</t>
  </si>
  <si>
    <t>Liposuktion af overekstremiteterne</t>
  </si>
  <si>
    <r>
      <t>MASTOPEXI; UDVIDET</t>
    </r>
    <r>
      <rPr>
        <sz val="12"/>
        <color theme="1"/>
        <rFont val="Cambria"/>
        <family val="1"/>
      </rPr>
      <t xml:space="preserve"> -</t>
    </r>
  </si>
  <si>
    <t>KHAD40A</t>
  </si>
  <si>
    <t>MASTOPEXI, UDVIDET  - MED AUTOLOG AUGMENTATIO</t>
  </si>
  <si>
    <t>KAHD40B</t>
  </si>
  <si>
    <t>Udvidet mastopexi med autolog augmentatio</t>
  </si>
  <si>
    <t xml:space="preserve"> 916 Andre operationer på hud, underhud og mamma, m. kompl. bidiag.</t>
  </si>
  <si>
    <t xml:space="preserve">                         (evt. med KZYC30 Peroperativ vendning af pt. I GA)</t>
  </si>
  <si>
    <t>(også hvis KZYC30 er anvendt grupperes til 0916)</t>
  </si>
  <si>
    <r>
      <t>BELT LIPEKTOMI</t>
    </r>
    <r>
      <rPr>
        <sz val="12"/>
        <color theme="1"/>
        <rFont val="Cambria"/>
        <family val="1"/>
      </rPr>
      <t xml:space="preserve"> -</t>
    </r>
  </si>
  <si>
    <t>KQBJ30B</t>
  </si>
  <si>
    <t>Abdominal lipektomi med adressering af mons pubis</t>
  </si>
  <si>
    <t>KQBJ05B</t>
  </si>
  <si>
    <t>Korrektion af salp el. overskydende hud nedre ryg</t>
  </si>
  <si>
    <t>KQBJ00</t>
  </si>
  <si>
    <t>Liposuktion på truncus</t>
  </si>
  <si>
    <r>
      <t>INDERLÅRPLASTIK</t>
    </r>
    <r>
      <rPr>
        <sz val="12"/>
        <color theme="1"/>
        <rFont val="Cambria"/>
        <family val="1"/>
      </rPr>
      <t xml:space="preserve"> -</t>
    </r>
  </si>
  <si>
    <t>KQDJ05A</t>
  </si>
  <si>
    <t>Inderlårsplastik</t>
  </si>
  <si>
    <t>KQDJ00</t>
  </si>
  <si>
    <t>Liposuktion af underekstremiteterne</t>
  </si>
  <si>
    <t>M</t>
  </si>
  <si>
    <t>0909, 0910</t>
  </si>
  <si>
    <t>N</t>
  </si>
  <si>
    <t xml:space="preserve">Håndtering af medicinudgifter i regionens fordelingsregnskab </t>
  </si>
  <si>
    <t>Region Sjælland</t>
  </si>
  <si>
    <t xml:space="preserve">I forbindelse med regionens aflevering af fordelingsregnskab til brug for takstberegningen, er regionen bekymret for om der er sket en fejl ift. SSIs håndtering af regionens medicinudgifter. For at skabe klarhed ift. denne bekymring, ønsker regionen metoden dokumenteret. </t>
  </si>
  <si>
    <t>Proceduretakster</t>
  </si>
  <si>
    <t>Hørings proces</t>
  </si>
  <si>
    <t>Metode til niveaujustering og produktionsværdi for takstsystem 2015</t>
  </si>
  <si>
    <t>FAM taksterne</t>
  </si>
  <si>
    <t>Fremtidig høringsmateriale</t>
  </si>
  <si>
    <t xml:space="preserve">Regionen finder det svært at gennemskue beregningerne for proceduretaksterne. I det fremsendte materiale beskrives det ikke, hvilke procedurer, som er afgørende for at proceduretaksten udløses. Dette finder vi uheldigt i forhold til at vurdere om proceduretaksten er retvisende.  </t>
  </si>
  <si>
    <t xml:space="preserve">Det opleves som uhensigtsmæssigt at fejlrettelser fremsendes sent i høringsperioden. Den relativt høje fejlrate vi har set i de seneste taksthøringer medfører en udtalt risiko for svigtende troværdighed ved processen og metoden samt bekymring om det materialet i øvrigt er fejlbehæftet. </t>
  </si>
  <si>
    <t xml:space="preserve">Regionen oplever det som uhensigtsmæssig at fordelingsnøglen ift. stationær/ambulant fastholdes til trods for at store dele af den stationære aktivitet er omlagt til gråzoner eller ambulant aktivitet. Fastholdelsen skaber en skævvridning, og en øget omlægning vil medføre et værditab (DRG/DAGS), som ikke genspejles i omkostningerne forbundet med behandlingen.    </t>
  </si>
  <si>
    <t xml:space="preserve">Det vurderes som svært gennemskueligt at vurdere om niveauet for de fremlagte AA takster er retvisende, i det den endelige konsekvens af grupperingen ikke kendes.  Regionen er klar over at dette er en høring af takstsystemet for 2015, men vil alligevel benytte lejligheden til at opfordre SSI til at tage initiativ til formulering af et evalueringskoncept til evaluering af hvorledes FAM grupperne virker (i 2014) med det formål at vurdere om grupperne tjener den tiltænkte hensigt. </t>
  </si>
  <si>
    <t xml:space="preserve">Til høring af takstsystem 2015 har SSI fremsendt et omfattende materiale. Under gennemgang af materialet har regionen fundet at det kunne være formålstjenlig at gøre materialet yderligere brugervenligt. Endvidere ville regionen sætte pris på at kunne få datagrundlaget (det fulde dataset med aktiviteten i 2013 i takst 2015) for konsekvensberegningerne stilet til rådighed.  </t>
  </si>
  <si>
    <t>Stråleplanlægning, kompleks, med strålebehandling, 1-2 fraktioner (eksl. stereotaksi)</t>
  </si>
  <si>
    <t xml:space="preserve">Det undrer at den beregnede takst for denne gruppe er fastholdt. Dette da taksten for gruppe 2714 er sat til en takst der er 3.461 kr. højere end denne komplekse gruppe. Logisk set, burde den komplekse gruppe takstfastsættes højere end den konventionelle, svarende til differencen mellem grupperne 2713 og 2715.  </t>
  </si>
  <si>
    <t>Stråleplanlægning, konventionel, med strålebehandling, 1-2 fraktioner (eksl. stereotaksi)</t>
  </si>
  <si>
    <t xml:space="preserve">Det undrer at taksten for denne gruppe er sat til en takst der er 3.461 kr. højere end taksten for den tilsvarende komplekse gruppe (2712). Logisk set, burde den konventionelle gruppe takstfastsættes lavere end den komplekse, svarende til differencen mellem grupperne 2713 og 2715.  </t>
  </si>
  <si>
    <t>Taksten er reduceret fra 98.441 kr. og vurderes for lav. Der skal tages højde for udgifter til vagtberedskab (trombolyse kræver speciallæger i vagt og specialuddannede sygeplejersker, forhøjet vagtberedskab for portører og bioanalytikere). I specialeplanen står det anført, at funktionen forudsætter mulighed for speciallæge assistance umiddelbart, dvs. funktionen medfører speciallæger i tilstedeværelse (som eneste neurologisk specialfunktion). Herudover er udgifter til medicin, der alene beløber sig til ca. 7.000 kr. for en patient på 70 kg. Endvidere er der større udgifter på billeddiagnostisk side, da der udføres specialskanninger (perfusionsundersøgelse og/eller angiografi med udgifter til kontrast og bedømmelse), hvilket adskiller sig betydeligt fra den 'almindelige' apopleksipatient, der ikke trombolysebehandles. Herudover er der større administrative udgifter, med omfattende registreringskrav til national database. Taksten bør derfor ikke være lavere end den almindelige takst for indlagte apopleksipatienter. Der foreslås, at taksten som et minimum fastholdes.</t>
  </si>
  <si>
    <t>Behandling med højdosis immunglobulin ved sygdom i nærvesystemet</t>
  </si>
  <si>
    <t xml:space="preserve">Alene medicinudgiften til behandling af en indlagt patient med Guillian-Barré er ca. 150.000 kr. pr. behandling. På denne baggrund vurderes taksten at være for lav. </t>
  </si>
  <si>
    <t>Intensiv neurorehabilitering på decentral enhed, almindeligt forløb</t>
  </si>
  <si>
    <t>I forbindelse med gennemgangen af taksthøringsmaterialet har Region Sjælland konstateret, at vi ikke indgår i takstberegningsgrundlaget for 2015. Dette undrer, da regionen har haft aktivitet i DRG2606 i 2013, som det fremgår af omkostningsdatabasen. Men der kan hverken findes observationer eller omkostninger i takstberegningsgrundlaget. Vi har undersøgt sygehusets fordelingsregnskab, og konstateret at der er fordelt omkostninger til aktiviteten. Vi indgår i takstberegningsgrundlaget for 2014. Vi mener, at dette er en fejl, og regionens observationer bør indgå i en ny beregning af gruppen.</t>
  </si>
  <si>
    <t>0108</t>
  </si>
  <si>
    <t>Epilepsi, udredning, mentalt retarderet, m. fast vagt</t>
  </si>
  <si>
    <t>0109</t>
  </si>
  <si>
    <t>Epilepsi, udredning, mentalt retarderet</t>
  </si>
  <si>
    <t>0110</t>
  </si>
  <si>
    <t xml:space="preserve">Epilepsi, udredning, m. EEG-døgnmonitorering </t>
  </si>
  <si>
    <t>0111</t>
  </si>
  <si>
    <t>Epilepsi, udredning, m. central overvågning</t>
  </si>
  <si>
    <t>0112</t>
  </si>
  <si>
    <t>Epilepsi eller dissociative kramper, udredning og behandling</t>
  </si>
  <si>
    <t>0124</t>
  </si>
  <si>
    <t>Anfaldssygdomme og hvoedpine, pat.under 1 år</t>
  </si>
  <si>
    <t>0125</t>
  </si>
  <si>
    <t>Anfaldssygdomme og hvoedpine, pat.under 1-17 år</t>
  </si>
  <si>
    <t>0126</t>
  </si>
  <si>
    <t>Anfaldssygdomme og hvoedpine, pat. Mindst 18 år</t>
  </si>
  <si>
    <t>0133</t>
  </si>
  <si>
    <t>Ketogen diæt, udredning eller igangsætning</t>
  </si>
  <si>
    <t>0139</t>
  </si>
  <si>
    <t>Observation for sygdom i nærvesystemet</t>
  </si>
  <si>
    <r>
      <t xml:space="preserve">Det blev besluttet på DRG udvalgsmødet d. 25. februar 2013 under punktet høring af Grupperingslogik for 2014, at det DRG- lignende system, som er udarbejdet i samarbejde med Region Sjælland, Danske Regioner og Filadelfia skal integreres i det eksisterende DRG- system fra 2014. Dette indbefatter, at grupperingen integreres - men at Filadelfias udgifter og aktivitet holdes ude af beregningen. </t>
    </r>
    <r>
      <rPr>
        <b/>
        <sz val="11"/>
        <color rgb="FF000000"/>
        <rFont val="Times New Roman"/>
        <family val="1"/>
      </rPr>
      <t xml:space="preserve">Takstberegningen vil alene bero på det offentlige sygehuses udgiftsniveau- og struktur. </t>
    </r>
    <r>
      <rPr>
        <sz val="11"/>
        <color rgb="FF000000"/>
        <rFont val="Times New Roman"/>
        <family val="1"/>
      </rPr>
      <t>Det undrer derfor Region Sjælland at Filadelfias omkostninger er medtaget i beregningen af nævnte takster.</t>
    </r>
  </si>
  <si>
    <t>O</t>
  </si>
  <si>
    <t>SP02B</t>
  </si>
  <si>
    <t>Dansk Reumatologisk Selskabs DRG-udvalg</t>
  </si>
  <si>
    <t>I forbindelse med høring af 2015 taksterne skal vi angive følgende. Vi kan ikke se sammedagstaksten for lænderyglidelser: SP02B</t>
  </si>
  <si>
    <t>SP02B 
DG30Q</t>
  </si>
  <si>
    <t>Vores forslag er derfor et markant løft af taksten for første gangs besøget ved ryg sammedagspakkerne SP02B og at ’Ryglidelser,  komplicerede’  DG 30Q  slettes.</t>
  </si>
  <si>
    <t xml:space="preserve">Vedrørende ambulante rygpatienter. DM40-DM43.9, DM45.9-DM46.9, DM47-DM48.9, DM49-DM49.8, DM50.0-DM54.9, DM99-DM99.9: Vi finder vi det uhensigtsmæssigt at der er to forskellige særlige ydelser på rygområde sammedagspakker (SP02B:  takst 2014 3325 kr - 2015 fremgår ikke) og ’Ryglidelser,  komplicerede’   (kun første gangs besøg) (DG30Q: denne faldet 31% i 2015 til kr 1967)- i øvrigt med ikke helt sammenfaldende diagnoser.
 (Det er en lang historie, hvorfor dette skete – det er vist noget med at forskellige ministerielle kontorer og forskellige forslagsstillere.)
Det findes i øvrigt uhensigtsmæssigt at man skal bruge besøgskoderne ZZ0149 og ZZ0151 i sammedagspakkerne og ikke kan bruge ZZ0150 journaloptagelse, som bruges ved første gangs besøg på alle andre patienter.
Sammedagspakkerne er dem vi primært bruger i vores rygforløb, hvor patienter varetages tværfagligt af forskellige faggrupper, dvs. læger, fysioterapeuter, sygeplejersker, kiropraktorer og evt. kirurger. Især ved det første besøg bruges ofte 1½-2 timer af flere af faggrupperne. Der er de seneste år sket et klart fald i ydelsen for disse sammedagspakker. Taksten for førstegangsbesøget  kan kun kodes til en DAGS værdi som er ca. 20% højere end for de efterfølgende besøg selvom personaleforbruget til det første besøg er 2-3 gange så stort som til de efterfølgende besøg. Hvis patienten afsluttes efter et besøg vil DAGS taksterne ikke dække ressource forbruget. For at få dækket sine omkostninger er man ofte groft anslået være nødt til at se patienten mindst 3 gange. Det kan medføre uhensigtsmæssig klinisk adfærd. </t>
  </si>
  <si>
    <t>BG50H</t>
  </si>
  <si>
    <t>Telefonkonsultationer</t>
  </si>
  <si>
    <t>Dette bruges i vidt omfang på de reumatologiske afdelinger. Det er fleksibelt både for afdelingerne og patienten, som også sparer transport tid og omkostninger. Samtidigt nedsættes miljøbelastningen (CO2 udledningen). Tidsforbruget for læge som foretager disse er betydeligt og ofte svarende til en almindelig konsultation – nogle gange endda mere idet man skal have fat i patienten. Tilsvarende er andre omkostninger (sekretær, blodprøver) ofte de samme. Derfor forekommer det ulogisk at taksten for en telefonkonsultation er 159 kr i forhold til 1818 kr for et ambulant  besøg. Nogle afdelinger har fået påbud om ikke at bruge telefonkonsultationer fordi omkostninger ikke dækkes ved disse. Således tilskynder de nuværende takster til uhensigtsmæssig klinisk adfærd.</t>
  </si>
  <si>
    <t>Vi foreslår derfor en markant øgning i teksten til lægelig telefonkonsultation til ca. 75 % af taksten for en almindelig ambulant konsultation.</t>
  </si>
  <si>
    <t>P</t>
  </si>
  <si>
    <t>SP05A</t>
  </si>
  <si>
    <t>Dansk Kirurgisk Selskab</t>
  </si>
  <si>
    <t>Ved gennemgang af sammedagspakkerne kan vi ikke finde nogen sammedagspakke for samtidig gastroskopi og sigmoideoskopi/koloskopi, hvilket der tidligere har været under navnet ”SP05A”. Vi finder det uheldigt, hvis denne sammedagspakke er fjernet, da det findes rimeligt at man får en højere takst når disse procedurer udføres på samme dag. Konsekvensen kan meget vel være er at patienterne ellers vil få lavet undersøgelserne på to forskellige dage, hvilket næppe er hensigtsmæssigt.</t>
  </si>
  <si>
    <t>Sammedagspakke: Gastroskopi og koloskopi/sigmoideoskopi</t>
  </si>
  <si>
    <t>R</t>
  </si>
  <si>
    <t>Dansk Oftalmologisk Selskab</t>
  </si>
  <si>
    <t>DRG 205 er en stor del af taksten transplantatet. Prisen på transplantatet er forskellig. Hvilken transplantat udgift ligger til grund for en lavere takst?</t>
  </si>
  <si>
    <t>Hornhindetransplantation</t>
  </si>
  <si>
    <t>0205</t>
  </si>
  <si>
    <t>Procedure KCKD05B/C (intravitreal injektion af angiostatisk lægemiddel/ steroid implantat) har tidligere ligget i DRG gr 209, men ifølge visual drg flyttet til PG11F. Fra en takst på 14.570 (2014) falder til 7.979 ( 2014 og 2015). Flytning af proceduren til en anden gruppe har ikke været i høring. 
De enkelte regioners interne afregning er forskellig. Hvis medicin udgiften ligger udenfor afdelingens drift budget er PG11F rimelig, da drg afregningen udelukkende går til drift, men på nogle afd indgår den dyre medicin i afds drift, og derfor holder taksten ikke. Muligvis er der lavet interne afregnings modeller i de enkelte regioner, men det ville være mest hensigtsmæssig, hvis de enkelte afdelinger afregnede ens, af hensyn til sammenligning.</t>
  </si>
  <si>
    <t>0209</t>
  </si>
  <si>
    <t xml:space="preserve">Ønske om at procedure koden UXAA35 angiografi af øjenvæv lukkes. Ligger under billeddiagnostiske undersøgelser i gruppe med bla. arteriografier. Denne procedurekode bruges fejlagtig af nogle øjenafdeliger, selvom der findes en korrekt kode UCXF1 (flourescens angiografi). Selskabet har gjort opmærksom på denne ikke korrekte kodning uden held. Der er en betydelig forskel i taksten på de 2 procedure. (7.764/1.802) 
Proceduren angiografi af øjenvæv foretages med mit vidende aldrig på de billeddiagnostiske afdelinger.  </t>
  </si>
  <si>
    <t>Grupperingslogik: UXAA35</t>
  </si>
  <si>
    <t>S</t>
  </si>
  <si>
    <t>Ambulante takster</t>
  </si>
  <si>
    <t>Dansk Endokrinologisk Selskab</t>
  </si>
  <si>
    <t>I disse tider hvor ambulatorium-funktionen skal styrkes og ”leanes”, så burde taksten øges markant! Et brevsvar/tlf svar kræver fortsat at man sætter sig ind i pt-forløb, der skal svares og dokumenteres. 
Det ”systemet” sparer er:
1) pt behøver ikke at tage fri fra arb – hvilket mange ptt sætter stor pris på 
2) antallet af befordringer på det offentliges regninger falder
3) der kan mølles flere ptt igennem systemet</t>
  </si>
  <si>
    <t>T</t>
  </si>
  <si>
    <t>Dansk Selskab for Palliativ Medicin</t>
  </si>
  <si>
    <t xml:space="preserve">
Det er svært for os at fremsætte forslag til et præcist tal for taksten.
Vi mener, at et fald i taksten på 39% er helt uacceptabelt, specielt i lyset af, at taksten også faldt i 2014, hvilket allerede da var uforståeligt for os. Vi mener ikke, at taksten kan falde yderligere, tværtimod.</t>
  </si>
  <si>
    <t>Grupperingslogikken til denne gruppe kun kan anvendes af specialiserede palliative enheder (se vedhæftet kodevejledning). Allerede under arbejdet med at udvikle DRG-afregning for den specialiserede palliative indsats blev betydningen af at sikre, at kodningen ikke blev anvendt til basal palliativ indsats, hvor god den end kan være, og at det kunne blive nødvendigt med en form for kontrol. Der er tilkommet flere palliative enheder. Imidlertid er det ikke alle palliative enheder, der opfylder de krav, der i sin tid blev defineret i relation til anvendelsen af DRG-kodningen for specialiseret indsats, nogle steder har man endog indtryk af, at begrebet ’tværfaglighed’ omgås ret kreativt for at legitimere anvendelse af kodningen. Dette finder vi meget bekymrende, og vi har jo bl.a. på den baggrund iværksat et samarbejde med jer i afdelingen for at få skabt en mere optimal DRG-registrering, der sikrer bedst muligt kvalitet og indhold. I et specialiseret, palliativt team aflægges det første hjemmebesøg af en læge og en sygeplejerske sammen. De efterfølgende hjemmebesøg i et patientforløb kan aflægges af en eller flere af teamets fagpersoner. I relation til hjemmebesøget vil der være: transport til og fra hjemmet, samarbejde og kommunikation med andre, der er i hjemmet, typisk hjemmesygeplejerske, egen læge eller sygehusafdeling, samtale med patienten og pårørende, og indsatsen er ikke kun rettet mod patienten,de pårørende inddrages også. Der lægger samlet set mellem 3 og 5 timers arbejdsindsats for hver fagperson, der deltager i et sådant hjemmebesøg.</t>
  </si>
  <si>
    <t>Vi har fra vores faglige indgang vanskeligt ved at gennemskue og gennemse de grundlæggende forudsætninger for beregningerne.
Vi noterer os dog:
- At der er ret stor forskel på taksberegningerne, og vel dermed de indberettede omkostninger, både imellem afdelinger, specialer og år.
- At en stor klinisk genetisk afdeling på RH nærmest ikke fremgår af opgørelserne.
- At vi vedvarende har problemer med at andre specialer anvender taksterne, formodentligt på et andet fagligt grundlag end i specialet.
- At vi, i modsætning til de kliniske afdelinger, ikke honoreres for et ambulant besøg.
Såfremt man fastholder en beregning ud fra alle afdelinger og alle specialers indberetninger af omkostninger, vil vi anmode om, at man genoptager diskussion af, hvorvidt specialet klinisk genetik skal honoreres for et ambulant besøg. Det fremstår urimeligt, at andre specialer samlet kan honoreres højere end klinisk genetik.
Alternativ kan man overveje at flytte de underliggende procedurekoder til andre grupperinger, der ikke udløser et ambulant besøg. Herved vil takstberegningerne på sigt udelukkende blive baseret på omkostninger indberettet fra klinisk genetiske afdelinger. Det virker rimeligt idet vi alligevel ikke har samme honoreringsforudsætninger.
Vi finder det betænkeligt, at de grupperinger, der ikke er beregnet, sænkes så betragteligt, for at følges med de beregnede. Det har man jo reelt ikke en forudsætning for at antage.
Endeligt mener vi, at vi også aftalte nye navne for grupperingerne, og ikke kun for de underliggende procedurekoder i vores revision i 2012. Vi kan se at det er de ”gamle” navne man har anvendt.
Vi er klar over, at I helst vil have forslag til takster og reelle beregningsgrundlag. Men det er vanskeligt at gøre for et fagligt selskab og bør foregå i regionsregi, idet de har forudsætningerne hertil samt adgang til data.
Samlet set er takstberegningerne, set fra DSMGs side, ikke tilfredsstillende.
Vi vil gerne anmode om, at man revurderer grundlaget for beregningerne. Det kan f.eks. gøres ved at anvende omkostningerne fra Klinisk Genetisk Afdeling på hhv. Sygehus Lillebælt og Ålborg Hospital. De to afdelinger fremstår som de mest valide og konsistente både mellem år og mellem taksterne. Indberettede omkostninger fra hhv. Skejby og OUH fremstår besynderlige og RH er ikke repræsenteret. I Skejby er man f.eks. først begyndt at indberette DAGS koder i løbet af 2012, mens deres omkostninger formodentligt er for hele 2012.</t>
  </si>
  <si>
    <t xml:space="preserve">Hvis der "leanes" på en afdeling, så optimeres processerne, hvilket reelt gør den enkelte behandling billigere. Den enkelte DRG-takst skal afspejle det faktiske ressourcetræk, dvs. hvis en behandling i gennemsnit bliver billigere, skal dette afspejles i udviklingen i DRG-taksten. </t>
  </si>
  <si>
    <t xml:space="preserve">Selskabet udtrykker bekymring omkring de postbariatriske DRG takster for 2015. Især 0913 skaber stor bekymring, men generelt bør de postbariatriske takster gennemgås. Body lift efter stort vægttab er en 4-5 timer operation, men to kiruger, anæstesilæge og flere operationssygeplejersker. De private sygehuse bliver afregnet med en takst omkring de 80.000 for samme type operation. mener at et fornuftigt prisleje ligger på omkring 85-90.000 kr. </t>
  </si>
  <si>
    <t>U</t>
  </si>
  <si>
    <t>Dansk Selskab for Apopleksi.</t>
  </si>
  <si>
    <t xml:space="preserve">Ved trombolysebehandling indlægges og udredes normalt 3 – 4 patienter for hver patient, der kan modtage behandling. Opgaven omfatter dels den akutte modtagelse (vurdering + eventuel behandling under beredskabet), tæt observation i modtageafsnit i 24 – 36 timer samt kontrolskanning (CTC), afslutning af apopleksiudredning samt tidlig vurdering med fysio-og ergoterapeut. Patienter som ikke bor i hospitalets optageområde, vil herefter gennemgå rehabilitering på apopleksiafsnit, indlæggelsestid varierende. Såfremt patienten forbliver indlagt på samme hospital, skal taksten dække hele forløbet. 
a. Merudgifter i forbindelse med beredskab udgør 23.170 – 26.025 kr pr døgn, hertil skal lægges 10.693,50 kr for medicin pr patient. (jfr LMK pris senest opdateret pr 26/5-14). Hertil skal lægges overhead 33% som almindeligvis anvendes. Herved fås udgift pr patient på 45.151 – 48.958 under antagelse af 1 behandlet patient pr døgn eller 29705 – 31608 ved to behandlede patienter og fortsat faldende ved stigende antal behandlede patienter..
b. Observation, gennemgang ved læge, vurdering og træning ved fysio- og ergoterapeut svarende til 2784 kr i udgift ud over basisudgifter, efter tillæg af overhead 3712 kr.
c. Såfremt patienten forbliver indlagt på samme hospital til videre rehabiliteringsforløb, skal taksten dække dette, takst for apopleksirehabilitering alene (dz508) udløser et markant større beløb. </t>
  </si>
  <si>
    <t>Dansk Selskab for Apopleksi er uforstående overfor den foreslåede reduktion i taksten idet der ikke har været nogen ændring i hvorledes og med hvilket ressourceforbrug der gives trombolysebehandling i de senere år.</t>
  </si>
  <si>
    <t xml:space="preserve">SSI indstiller til at DRG0120 sættes til takstbud fra Region Syddanmark: kr. 55.000 + 10.000. </t>
  </si>
  <si>
    <t>Hvis forslag følges, beregnes taksten til at være lavere end det beregnede. Derfor sættes taksten til niveauet i 2013, da taksterne fra 2014 var for høje. (425.223)</t>
  </si>
  <si>
    <t>Taksten sættes til 2013-niveau. (425.223)</t>
  </si>
  <si>
    <t>Taksten beregnes fortsat.</t>
  </si>
  <si>
    <t>Rigshospitalet udelukkes i 2013</t>
  </si>
  <si>
    <t>6620 kommer ind igen både i 2012 og 2013. 1301, 3800, 7026 og 8001 udelukkes i 2012. 1501 og 3800 udelukkes i 2013. pga. omkostninger til implantater. Taksten stiger, men ikke til niveau 2014.</t>
  </si>
  <si>
    <t>Sættes til 2013-niveau (49.153)</t>
  </si>
  <si>
    <t>Omkostningsberegningen passer ikke med det oplyste. Taksten foreslås sat til 2013-niveau (10.599)</t>
  </si>
  <si>
    <t>Kombinerede operationer på nethinde, årehinde og glaslegeme, m. generel anæstesi
Store operationer, nethinde, årehinde og glaslegeme, m. generel anæstesi</t>
  </si>
  <si>
    <t xml:space="preserve">Taksten for DRG 0201 og 0206 med GA er begge faldet betydelig, og ligger sig op ad taksten for samme op uden GA DRG 0202 og 0207. Det kan undre at anæstesien koster 1.059 i første gruppe og 4.009 i anden gruppe. Vedr taksten for GA se nedenfor.
DRG 0203 er faldet betydelig. Denne operation foretages ofte akut i vagten. Har man indregnet omkostninger til vagt beredskab i taksten? </t>
  </si>
  <si>
    <t>DRG 0220/0219 grå stær op i GA er forskellen mellem op. i LA (ikke GA) og op i GA 1.119. Finder overordnet at forskellen i taksten for op i GA/LA på ca 1.000 er alt for lav. I praksis laves 3 – 4 operationer pr dag i UA, mod 9 – 10 op uden GA, dvs større personale udgifter pr op ved op i GA.</t>
  </si>
  <si>
    <t xml:space="preserve">0201
0206
</t>
  </si>
  <si>
    <t xml:space="preserve">21.853
18.536
</t>
  </si>
  <si>
    <t xml:space="preserve">45.889
30.453
</t>
  </si>
  <si>
    <t>Store operationer, øjenlåg, øjenæble og forreste øjenkammer mm, u. generel anæstesi</t>
  </si>
  <si>
    <r>
      <rPr>
        <b/>
        <sz val="11"/>
        <color theme="1"/>
        <rFont val="Times New Roman"/>
        <family val="1"/>
      </rPr>
      <t>Grupperingslogik</t>
    </r>
    <r>
      <rPr>
        <sz val="11"/>
        <color theme="1"/>
        <rFont val="Times New Roman"/>
        <family val="1"/>
      </rPr>
      <t>. Flytningen af procedurekode KCKD05B/C fra DRG0209 til PG11F blev foretaget til DRG2014. Til DRG2015 er KCKD05C flyttet til PG11E.</t>
    </r>
  </si>
  <si>
    <r>
      <rPr>
        <b/>
        <sz val="11"/>
        <color theme="1"/>
        <rFont val="Times New Roman"/>
        <family val="1"/>
      </rPr>
      <t xml:space="preserve">Grupperingslogik. </t>
    </r>
    <r>
      <rPr>
        <sz val="11"/>
        <color theme="1"/>
        <rFont val="Times New Roman"/>
        <family val="1"/>
      </rPr>
      <t>Der er frist for forslag til ændringer i grupperingslogikken (DRG2016) d. 1. november 2014.</t>
    </r>
  </si>
  <si>
    <t>0219
0220</t>
  </si>
  <si>
    <t>0220
0221</t>
  </si>
  <si>
    <t>5.350
4.155</t>
  </si>
  <si>
    <t>10.628
4.943</t>
  </si>
  <si>
    <t>Grå stær operationer, m. generel anæstesi
Grå stær operationer, u. generel anæstesi</t>
  </si>
  <si>
    <t>V</t>
  </si>
  <si>
    <t>Dansk Ortopædisk Selskabs DRG udvalg</t>
  </si>
  <si>
    <t>Vedrørende taksterne for Endoskopi af hofte (0853) har selskabet gentagne gange argumenteret for, at de slet ikke står mål med omkostningerne, og vi forstår derfor ikke at disse er sat ned i DRG 2015.</t>
  </si>
  <si>
    <t>PG02E</t>
  </si>
  <si>
    <t>Bevægelseslaboratorieundersøgelse</t>
  </si>
  <si>
    <t>Vedrørende taksterne for Bevægelseslaboratorieundersøgelse (PG02E) har selskabet gentagne gange argumenteret for, at de slet ikke står mål med omkostningerne, og vi forstår derfor ikke at disse er sat ned i DRG 2015.</t>
  </si>
  <si>
    <t xml:space="preserve">SSI vil tage Filadelfia ud af takstberegningen, således at den beror alene på det offentlige sygehuses udgiftsniveau og - struktur. </t>
  </si>
  <si>
    <t xml:space="preserve">SSI indstiller, at de syv ambulante observationer, der ikke har IMP-cost tages ud af takstberegning, og taksten genberegnes. </t>
  </si>
  <si>
    <t xml:space="preserve">SSI har gennemgået beregninggrundlaget og er enig i kommentarerne. Det indstilles til at PG16A, PG16B, PG16C og PG16D sættes til takst 2014. </t>
  </si>
  <si>
    <t>For telefonkonsultationer er der tale om gennemsnit, fra de korte telefonsamtaler på 2 minutter til de lange på 30 min. Vi har ikke mulighed for at differentiere mellem korte og lange telefonsamtaler.</t>
  </si>
  <si>
    <t>Det indstilles til at PG04H sættes til takst 2014</t>
  </si>
  <si>
    <t>Enig, indstilles til at taksten genberegnes kun på baggrund af sygehuse hvor der indgår implantatomkostninger.</t>
  </si>
  <si>
    <t>Beregningerne er sendt til jordmoderforeningen, afventer deres svar.</t>
  </si>
  <si>
    <t>Kommentaren for PG08G ændres</t>
  </si>
  <si>
    <t>Der er blevet taget kontakt til Dansk Medicinsk Audiologisk Selskab med henblik på at validere taksterne for PG10L og PG10M.</t>
  </si>
  <si>
    <t>Det indstilles til at PG11I sættes til takst 2014</t>
  </si>
  <si>
    <t>Der indgår ikke grupperingsmæssige ændringer i taksthøringsperioden</t>
  </si>
  <si>
    <t>På baggrund af beregningen indtille til at taksten sættes til 20.000 kr.</t>
  </si>
  <si>
    <t>Det er logik og patientregistrering.</t>
  </si>
  <si>
    <t xml:space="preserve">Der er ikke sket en beregningsfejl. Forskellen på de to priser er pga. et ambulant besøg er blevet trukket fra den gns. Pris i taktsgrundlaget. </t>
  </si>
  <si>
    <t>Grupperingslogik</t>
  </si>
  <si>
    <t xml:space="preserve">Ved en fejl har der været et filter i det fremsendte excel ark med sammedagstakster. Selskabet er blevet informeret om dette og hvordan filteret fjernes. </t>
  </si>
  <si>
    <t>BG50G</t>
  </si>
  <si>
    <t>SSI indstiller til at PG02E sættes til takst 2014.</t>
  </si>
  <si>
    <t>1.660
2.341</t>
  </si>
  <si>
    <t>10.738
2.912</t>
  </si>
  <si>
    <t>SSI indstiller til at taksten sættes til 2013-takst: 45.283 kr.</t>
  </si>
  <si>
    <t>2.502
1.967</t>
  </si>
  <si>
    <t>2.505
2.861</t>
  </si>
  <si>
    <t>4.963
7.444
11.910</t>
  </si>
  <si>
    <t>4.968
7.452
11.923</t>
  </si>
  <si>
    <t>Taksten DRG0201 og DRG0206 har været sat siden oprettelsen i år 2012. Mange i MDC02 har været sat i perioden 2012-2014. 
DRG0201:
2013: 42.049 kr.  
2012: 39.664 kr.
DRG0206:
2013: 36.118 kr.
2012: 34.070 kr.
SSI indstiller til at taksten sættes til 2013-taksten.</t>
  </si>
  <si>
    <t>DRG0220 (DRG2015) var sat i år 2014 og 2012, men beregnet i år 2013. DRG0221 har været sat 2012-2014. 
DRG0220 (m. GA):
2013: 9.739 kr.
2012: 8.645 kr.
DRG0221 (u. GA):
2013: 4.529 kr.
2012: 4.271 kr.
SSI indstiller til at taksten sættes til 2013-niveau.</t>
  </si>
  <si>
    <t>Rigshospitalets operationsomkostninger adskiller sig ikke væsentligt fra andre sygehuses i 2013 og generelt konstateres det, at omkostningsniveauet er højere for Rigshospitalet i 2013 end i 2012.</t>
  </si>
  <si>
    <t xml:space="preserve">SSI forsøger at benytte omkostningsdatabasen i så høj grad som muligt. I MDC05 er det beregnede niveau så markant forskelligt fra de igennem længere tid satte takster, at det vurderedes, at det var nødvendigt at undersøge, om takstniveauet i MDC 05 var vallidt.  </t>
  </si>
  <si>
    <t>Teknisk fejl gør, at AUH ikke optræder i grupperne. De vil blive inddraget i grupper, hvor det vurderes, at de skal være med. Heriblandt  0503, 0508, 0509, 0511, 0514, 0515, 0530</t>
  </si>
  <si>
    <t>Evt. arbejde der kan foregå i takstfølgegruppe-regi?</t>
  </si>
  <si>
    <t>0504 sættes til 2013-niveau (425.223). 0514 beregnes med udeladte sygehuse pga. for lave impl-omk</t>
  </si>
  <si>
    <t>1301 og 3800 udelukkes for 2013. 1301 og 7026 udelukkes for 2012. Implantatomkostningerne er for lave.</t>
  </si>
  <si>
    <t xml:space="preserve">6620 kommer ind igen både i 2012 og 2013. 1301, 3800, 7026 og 8001 udelukkes i 2012. 1501 og 3800 udelukkes i 2013. pga. omkostninger til implantater. Taksten stiger, men ikke til niveau 2014. </t>
  </si>
  <si>
    <t>Taksterne sættes til 2013-niveau, da der 'ikke er sket nogen ændringer i omkostningerne i mange år', og 2013 menes at være et mere retvisende niveau end 2014. (172.665 og 232.439)</t>
  </si>
  <si>
    <t>SSI foreslår, at grupperne sættes til niveauet i 2013, grundet den manglende sammenlignelighed i takstfastsættelsen før høring og manglende ændringer i omkostningsstrukturerne over tid.</t>
  </si>
  <si>
    <t>Dette er ikke nok argument for at holde grupperne på et højt takstniveau</t>
  </si>
  <si>
    <t>Taksten foreslås sat til 2013-niveau (100.817)</t>
  </si>
  <si>
    <t>Vil gerne have forklaret omkostningsberegningen. I så fald kunne denne bruges til pris fastsættelse</t>
  </si>
  <si>
    <t>Taksten kan sættes med udgangfspunkt i OUHs beregninger.</t>
  </si>
  <si>
    <t>SSI indstiller til at taksten sættes til 2013-takst: 190.732 kr.</t>
  </si>
  <si>
    <t>Rigshospitalet pr. afdeling pr. år - Takstberegningsgrundlag fra SSI</t>
  </si>
  <si>
    <t>drg</t>
  </si>
  <si>
    <t>sgh</t>
  </si>
  <si>
    <t>afd</t>
  </si>
  <si>
    <t>c_omkdb</t>
  </si>
  <si>
    <t>_FREQ_</t>
  </si>
  <si>
    <t>v_totobs</t>
  </si>
  <si>
    <t>v_ntotcost</t>
  </si>
  <si>
    <t>v_tot_cost</t>
  </si>
  <si>
    <t>v_seng_cost</t>
  </si>
  <si>
    <t>v_yd_cost</t>
  </si>
  <si>
    <t>v_amb_cost</t>
  </si>
  <si>
    <t>sengdagf</t>
  </si>
  <si>
    <t>Gns. sengedagsomk</t>
  </si>
  <si>
    <t>1301</t>
  </si>
  <si>
    <t>101</t>
  </si>
  <si>
    <t>2012</t>
  </si>
  <si>
    <t>49</t>
  </si>
  <si>
    <t>89</t>
  </si>
  <si>
    <t>2013</t>
  </si>
  <si>
    <t>39</t>
  </si>
  <si>
    <t>Rigshospitalet  - Takstberegningsgrundlag fra SSI</t>
  </si>
  <si>
    <t>Ny v_seng_cost</t>
  </si>
  <si>
    <t>Ny tot_cost</t>
  </si>
  <si>
    <t>2012+2013</t>
  </si>
  <si>
    <t>Bemærkninger:</t>
  </si>
  <si>
    <t>Det må konstateres, at den gennemsnitlige sengedagsomkostning for både 2012 og 2013 er blevet for lav (ikke præcise nok i vores fordelingsregnskab). I 2014 har Hæmatologisk klinik på Rigshospitalet en Lands- og landsdelssengedagstakst på ca. 11.970 kr. pr. sengedag for disse patienter  (Heldøgn-KMT allogen- L). V_yd_cost og V_amb_cost er samlet set over de to år stabil (vægtet gns på 237.185 tkr.)</t>
  </si>
  <si>
    <t>KONKLUSION:</t>
  </si>
  <si>
    <t>Det anbefales at fastholde takst 2015 på 649.445 kr.</t>
  </si>
  <si>
    <t>Rigshospitalet - Takstberegningsgrundlag fra SSI</t>
  </si>
  <si>
    <t>MDC</t>
  </si>
  <si>
    <t>26</t>
  </si>
  <si>
    <t>Rigshospitalet pr. afdeling - Takstberegningsgrundlag fra SSI</t>
  </si>
  <si>
    <t>1</t>
  </si>
  <si>
    <t>43</t>
  </si>
  <si>
    <t>2</t>
  </si>
  <si>
    <t>32C</t>
  </si>
  <si>
    <t>17</t>
  </si>
  <si>
    <t>23</t>
  </si>
  <si>
    <t>2012 omkostningsdatabasen er fejlbehæftet. Der er reelt  kun tilført sengeomkostninger for den ene patient i 2012 under afd 10.1, mens</t>
  </si>
  <si>
    <t>der ikke er tilført sengeomkostninger for patienterne fra afdeling 32.C (kun et uforklaret restbeløb på gns. 140 kr. pr. patient).</t>
  </si>
  <si>
    <t xml:space="preserve">For 2013 er sengeomkostningen undervurderet for 32.C, idet en fordelingsnøgle i fordelingsregnskabet fordele for lidt omkostninger til afsnittet </t>
  </si>
  <si>
    <t>med disse patienter. Reelt er gennemsnits sengeomkostningen på ca. 20.000 kr. for disse patienter, der i visse tilfælde er døgnovervåget.</t>
  </si>
  <si>
    <t>Opjusteres v_seng_cost til 20.000 kr. pr sengedag (til 1.088.000 kr) stiger den samlede v_tot_cost fra 1.192.546 til 1.541.825 kr.</t>
  </si>
  <si>
    <t xml:space="preserve">For afdeling 10.1 gælder at afdelingen i fordelingsregnskabet ikke har mulighed for at udskille udgiften til de få konkrete børn ift. til </t>
  </si>
  <si>
    <t>de voksne patienter indenfor samme område.</t>
  </si>
  <si>
    <t>Det anbefales at videreføre taksten fra 2014 (kr. 1.442.331).</t>
  </si>
  <si>
    <t>1116</t>
  </si>
  <si>
    <t>322</t>
  </si>
  <si>
    <t>85</t>
  </si>
  <si>
    <t>401</t>
  </si>
  <si>
    <t>81</t>
  </si>
  <si>
    <t>Ny yd_cost</t>
  </si>
  <si>
    <t>Det må konstateres at både 2012 og 2013 er fejlbehæftet i Rigshospitalets takstberegningsgrundlag. 2012 mangler sengedagsomkostninger og 2013 mangler ydelsesomkostninger. Rigshospitalet har en lands- og landsdels sengedagstakst på dette område på 4.255 kr. i 2014. For operationen har vi en takst på 58.444 kr. i 2014. Vi anbefaler derfor, at taksten sættes på 67.492 kr.</t>
  </si>
  <si>
    <t>Det anbefales, at taksten sættes til 67.492 kr.</t>
  </si>
  <si>
    <t>For DRG1701 skal det indledende siges, at vi ikke mener at der er belæg for at gruppen er en gråzone. Det ambulante forløb afviger i væsentlig grad for det indlagte. Ser vi alene på de indlagte forløb er der ligeledes tale om en meget inhomogen gruppe, hvor nogle patienter har meget tunge sengedagsomkostninger på linje med de allogene transplantationsgrupper, mens andre har nogle lidt lettere sengedagsomkostninger, ligesom behandlingsomkostningerne kan variere.  Grundet den meget inhomogene gruppe har vi ikke haft mulighed for at lave en omkostningsberegning, men kan dog se at sengedagsomkostningerne i takstberegningsgrundlaget i tabel 1 nedenfor er klart undervurderet (sidste kolonne). Vi må derfor anbefale, at Rigshospitalets omkostninger ikke danner grundlag for en omkostningsberegning (og i øvrigt til et takstfald i den angivne størrelse).</t>
  </si>
  <si>
    <t>Se link til kommentar</t>
  </si>
  <si>
    <t>SSI indstiller til at taksten sættes til 2013-takst: 91.302 kr.</t>
  </si>
  <si>
    <t>SSI øsnker DRG udvalgets vurdering af 2501 og 2502. Følg link til udtræk fra eSundhed</t>
  </si>
  <si>
    <t>DRG</t>
  </si>
  <si>
    <t>Antal sygehusudskrivninger</t>
  </si>
  <si>
    <t>Bispebjerg og Frederiksberg Hospitaler</t>
  </si>
  <si>
    <t>Hvidovre Hospital</t>
  </si>
  <si>
    <t>Amager Hospital</t>
  </si>
  <si>
    <t>Frederiksberg Hospital</t>
  </si>
  <si>
    <t>Glostrup Hospital</t>
  </si>
  <si>
    <t>Herlev Hospital</t>
  </si>
  <si>
    <t>Hospitalerne i Nordsjælland</t>
  </si>
  <si>
    <t>Bornholms Hospital</t>
  </si>
  <si>
    <t>Vejle Sygehus</t>
  </si>
  <si>
    <t>Hospitalsenhed Midt</t>
  </si>
  <si>
    <t>Århus Universitetshospital, Skejby</t>
  </si>
  <si>
    <t>Regionshospitalet Viborg, Skive</t>
  </si>
  <si>
    <t>Aalborg Universitetshospital</t>
  </si>
  <si>
    <t>Sygehus Sønderjylland</t>
  </si>
  <si>
    <t>Sygehus Vendsyssel</t>
  </si>
  <si>
    <t>Sygehus Himmerland</t>
  </si>
  <si>
    <t>omk.db 2012</t>
  </si>
  <si>
    <t>omk.db 2013</t>
  </si>
  <si>
    <t>Regionshospitalet Hammel Neurocenter</t>
  </si>
  <si>
    <t xml:space="preserve">Sum </t>
  </si>
  <si>
    <t>Gns. Omk. For hvert takstår</t>
  </si>
  <si>
    <t xml:space="preserve">Den beregnede takst </t>
  </si>
  <si>
    <t>Den beregnede takst - justeret</t>
  </si>
  <si>
    <t>Se link til SSI's beregninger af 2605</t>
  </si>
  <si>
    <t>Se udtræk fra eSundhed</t>
  </si>
  <si>
    <t>Omkostningselementer pr. DRG- eller DAGS-gruppe for 2013</t>
  </si>
  <si>
    <t>Gennemsnitlige omkostninger for indlagte patienter opdelt på DRG-grupper og ydelsestype</t>
  </si>
  <si>
    <t>DRG-navn</t>
  </si>
  <si>
    <t>Sengeomk.</t>
  </si>
  <si>
    <t>Ydelsesomk.</t>
  </si>
  <si>
    <t>Ambulante omkostninger i alt</t>
  </si>
  <si>
    <t>Amb. omkostning: Anæstesiologi</t>
  </si>
  <si>
    <t>Amb. omkostning: Arbejdsmedicin</t>
  </si>
  <si>
    <t>Amb. omkostning: Dermato- venerologi</t>
  </si>
  <si>
    <t>Amb. omkostning: Gynækologi-obstetrik</t>
  </si>
  <si>
    <t>Amb. omkostning: Hæmatologi</t>
  </si>
  <si>
    <t>Amb. omkostning: Intern medicin</t>
  </si>
  <si>
    <t>Amb. omkostning: Kardiologi</t>
  </si>
  <si>
    <t>Amb. omkostning: Kir. gastroenterologi</t>
  </si>
  <si>
    <t>Amb. omkostning: Klin fys nuclearmedicin</t>
  </si>
  <si>
    <t>Amb. omkostning: Klin. neurofysiologi</t>
  </si>
  <si>
    <t>Amb. omkostning: Kæbekirurgi</t>
  </si>
  <si>
    <t>Amb. omkostning: Med. allergologi</t>
  </si>
  <si>
    <t>Amb. omkostning: Med. endokrinologi</t>
  </si>
  <si>
    <t>Amb. omkostning: Med. lungesygdomme</t>
  </si>
  <si>
    <t>Amb. omkostning: Nefrologi</t>
  </si>
  <si>
    <t>Amb. omkostning: Neurologi</t>
  </si>
  <si>
    <t>Amb. omkostning: Oftalmologi</t>
  </si>
  <si>
    <t>Amb. omkostning: Oftalmologi (inkl. implantater)</t>
  </si>
  <si>
    <t>Amb. omkostning: Onkologi</t>
  </si>
  <si>
    <t>Amb. omkostning: Oto rhino laryngologi</t>
  </si>
  <si>
    <t>Amb. omkostning: Plastikkirurgi</t>
  </si>
  <si>
    <t>Amb. omkostning: Pædiatri</t>
  </si>
  <si>
    <t>Amb. omkostning: Reumatologi</t>
  </si>
  <si>
    <t>Amb. omkostning: Urologi</t>
  </si>
  <si>
    <t>ANA: Anæstesi</t>
  </si>
  <si>
    <t>BLO: Blod</t>
  </si>
  <si>
    <t>DIA: Dialyse</t>
  </si>
  <si>
    <t>ERG: Ergoterapi</t>
  </si>
  <si>
    <t>FOE: Fødsler</t>
  </si>
  <si>
    <t>FYE: Fys- Ergo</t>
  </si>
  <si>
    <t>FYS: Fysioterapi</t>
  </si>
  <si>
    <t>HOT: Patienthotel</t>
  </si>
  <si>
    <t>IMP: Implantater</t>
  </si>
  <si>
    <t>INT: Intensiv</t>
  </si>
  <si>
    <t>JOR: Jordemoderkonsultationer</t>
  </si>
  <si>
    <t>KBI: Klinisk Biokemi</t>
  </si>
  <si>
    <t>KFN: Klinisk fysiologi og nuklearmedicin</t>
  </si>
  <si>
    <t>KGE: Klinik genetik</t>
  </si>
  <si>
    <t>KIM: Klinisk Immunologi</t>
  </si>
  <si>
    <t>KMI: Klinisk mikrobiologi</t>
  </si>
  <si>
    <t>KNE: Klinisk neurofysiologi</t>
  </si>
  <si>
    <t>MED: Medicin</t>
  </si>
  <si>
    <t>Opa: Operation og Anæstesi</t>
  </si>
  <si>
    <t>OPE: Operationer</t>
  </si>
  <si>
    <t>OPV: Opvågning</t>
  </si>
  <si>
    <t>PAT: Patologi</t>
  </si>
  <si>
    <t>RAD: Radiologi</t>
  </si>
  <si>
    <t>STR: Strålebehandling</t>
  </si>
  <si>
    <t>SYD: Særydelser</t>
  </si>
  <si>
    <t>Neurorehabilitering - hele landet</t>
  </si>
  <si>
    <t>Neurorehabilitering - Nordjylland</t>
  </si>
  <si>
    <t>Neurorehabilitering - Region Midt</t>
  </si>
  <si>
    <t>Neurorehabilitering - Region Syd</t>
  </si>
  <si>
    <t xml:space="preserve">Neurorehabilitering - Hovedstaden </t>
  </si>
  <si>
    <t>Neurorehabilitering - Sjælland</t>
  </si>
  <si>
    <t>Omkostningselementer pr. DRG- eller DAGS-gruppe for 2012</t>
  </si>
  <si>
    <t>Se link til udtræk fra eSundhed</t>
  </si>
  <si>
    <t>SSI indstiller til at taksten fastholdes</t>
  </si>
  <si>
    <t>SSI ønsker DRG udvalgets vurdering af DRG 2644 og 2645. SSI indstiller til at takserne fastholdes.</t>
  </si>
  <si>
    <t>SSI øsnker DRG udvalgets vurdering af 2656 og 2657. SSI indstiller til at taksterne beregnes.</t>
  </si>
  <si>
    <t xml:space="preserve">SSI Indstiller til at 2719 og 2722 sættes til takst 2013. Hvis disse to takster sættes, vil det indbyrdes afhængighedforhold stemme. </t>
  </si>
  <si>
    <t>2701</t>
  </si>
  <si>
    <t>Strålebehandling, kompleks, mindst 5 fraktioner el. helkropsbestråling</t>
  </si>
  <si>
    <t>*</t>
  </si>
  <si>
    <t>Beregnes</t>
  </si>
  <si>
    <t>2702</t>
  </si>
  <si>
    <t>Strålebehandling, kompleks, 3-4 fraktioner</t>
  </si>
  <si>
    <t>2703</t>
  </si>
  <si>
    <t>Strålebehandling, kompleks, 2 fraktioner</t>
  </si>
  <si>
    <t>2704</t>
  </si>
  <si>
    <t>Strålebehandling, kompleks, 1 fraktion</t>
  </si>
  <si>
    <t>2705</t>
  </si>
  <si>
    <t>Strålebehandling, konventionel, mindst 5 fraktioner</t>
  </si>
  <si>
    <t>2706</t>
  </si>
  <si>
    <t>Strålebehandling, konventionel, 3-4 fraktioner</t>
  </si>
  <si>
    <t>2707</t>
  </si>
  <si>
    <t>Strålebehandling, konventionel, 2 fraktioner</t>
  </si>
  <si>
    <t>Sættes</t>
  </si>
  <si>
    <t>2708</t>
  </si>
  <si>
    <t>Strålebehandling, konventionel, 1 fraktion</t>
  </si>
  <si>
    <t>2709</t>
  </si>
  <si>
    <t>2710</t>
  </si>
  <si>
    <t>Stereotaksi</t>
  </si>
  <si>
    <t>2711</t>
  </si>
  <si>
    <t>Brachyterapi</t>
  </si>
  <si>
    <t>2712</t>
  </si>
  <si>
    <t>Stråleplanlægning, kompleks, med strålebehandling, 1-2 fraktioner (ekskl. stereotaksi)</t>
  </si>
  <si>
    <t>2713</t>
  </si>
  <si>
    <t>Stråleplanlægning, kompleks</t>
  </si>
  <si>
    <t>2714</t>
  </si>
  <si>
    <t>Stråleplanlægning, konventionel, med strålebehandling, 1-2 fraktioner (ekskl. stereotaksi)</t>
  </si>
  <si>
    <t>2715</t>
  </si>
  <si>
    <t>Stråleplanlægning, konventionel</t>
  </si>
  <si>
    <t>OK</t>
  </si>
  <si>
    <t>DRG 2015</t>
  </si>
  <si>
    <t>DRG 2014</t>
  </si>
  <si>
    <t>DRG navn</t>
  </si>
  <si>
    <t>Gråzone 2015</t>
  </si>
  <si>
    <t>Trimpunkt 2015</t>
  </si>
  <si>
    <t>Trimpunkt 2014</t>
  </si>
  <si>
    <t>Faktisk ændring</t>
  </si>
  <si>
    <t>Ændring i pct.</t>
  </si>
  <si>
    <t>Bemærkning</t>
  </si>
  <si>
    <t>Se link til oversigt over taksterne for DRG 2701-2715</t>
  </si>
  <si>
    <t>Epilepsihospitalet Filadelfia</t>
  </si>
  <si>
    <t>Sygehus Sønderjylland, Sønderborg</t>
  </si>
  <si>
    <t>Sygehus Sønderjylland, Haderslev</t>
  </si>
  <si>
    <t>Sygehus Sønderjylland, Aabenraa</t>
  </si>
  <si>
    <t>Århus Amtssygehus</t>
  </si>
  <si>
    <t>SSI indstiller til at AUH's takstbud følges og DRG 0908 sættes til 87.000 kr.</t>
  </si>
  <si>
    <t xml:space="preserve">Der er blevet taget kontakt til Tove Vejlgaard fra Dansk Selskab for Pallitativ Medicin i forhold til at validere taksten for denne DAGS gruppe. SSI indstiller til at at taksten beregnes pba. Horsens, Vejle, Odense og Esbjerg. Taksen vil ca. komme til at ligge på 7.600 kr. </t>
  </si>
  <si>
    <t>Gennemsnitlig omkostning pr afdeling fordelt på regnskabsår</t>
  </si>
  <si>
    <t>Afdeling</t>
  </si>
  <si>
    <t>72E - Onkologisk Klinik ONK, Palliativt ambulatorium</t>
  </si>
  <si>
    <t>549 - Palliativ ambulatorium</t>
  </si>
  <si>
    <t>258 - Palliativt Ambulatorium</t>
  </si>
  <si>
    <t>145 - Palliationsenheden amb.</t>
  </si>
  <si>
    <t>22B - FS Palliativ Udkør. Afd., amb.</t>
  </si>
  <si>
    <t>22P - HI Palliativt Team Afd., amb.</t>
  </si>
  <si>
    <t>C3P - ROS Palliativt Team</t>
  </si>
  <si>
    <t>E5D - KOE Anæstesi Amb.</t>
  </si>
  <si>
    <t>E5P - KOE Smerte Amb.</t>
  </si>
  <si>
    <t>Q2P - NAE Palliativt Team</t>
  </si>
  <si>
    <t>269 - Palliativt team Fyn</t>
  </si>
  <si>
    <t>619 - SHS Klinik for Kræftsygdomme Palliativ Amb. (Sønderborg)</t>
  </si>
  <si>
    <t>014 - Palliativt team</t>
  </si>
  <si>
    <t>02S - SVS Palliativ ambulatorium (Esbjerg)</t>
  </si>
  <si>
    <t>017 - Palliativt team ambulatorium - HEH</t>
  </si>
  <si>
    <t>184 - Palliativt team</t>
  </si>
  <si>
    <t>04J - Palliativt team Viborg</t>
  </si>
  <si>
    <t>339 - Palliativt Team Silkeborg</t>
  </si>
  <si>
    <t>36P - Palliativt Team Herning</t>
  </si>
  <si>
    <t>019 - Palliativt Team</t>
  </si>
  <si>
    <t>047 - Medicinsk ambulatorium, Skive</t>
  </si>
  <si>
    <t>049 - Thy Med. Amb.</t>
  </si>
  <si>
    <t>267 - Him Palliationsteam Himmerland</t>
  </si>
  <si>
    <t xml:space="preserve">SSI øsnker DRG udvalgets vurdering af 2605. SSI indstiller til at Silkeborg fjernes i takstgrundlaget (33 udskrivninger med meget lave omkostninger), og at taksten genberegnes. Ifølge specialevejledningen af december 2013 må Glostrup (Hvidovre) Hospital og RH Neurocenter Hammel udføre denne behandling på højt specialeret niveau, hvorfor det blev besluttet på mødet d. 27. september 2013, at kun disse må indgå i takstberegningen til DRG2605. </t>
  </si>
  <si>
    <t>SSI øsnker DRG udvalgets vurdering af 2609. SSI indstiller til at taksten beregnes. Taksten er beregnet til 105.941 kr.</t>
  </si>
  <si>
    <t>DRG2627 er ny i 2014 og taksten er blevet fastlagt af det kliniske selskab. Rigshospitalet anbefaler at taksten sættes til takst 2014 og at de evaluerer når de har erfaring for minimum et år mere. SSI indstiller til at taksten fastholdes.</t>
  </si>
  <si>
    <t>Det ser ud til at der stadig er problemer med grupperingen. Fx er der i takstberegningsgrundlaget for 2015 ingen fødsler i gruppe 1433. Det ser ikke ud til at de er undeladt</t>
  </si>
  <si>
    <t xml:space="preserve">SSI indstiller til at anbefalingen fra Dansk Nefrologisk Selskab følges og taksten sættes til 493.000 kr. </t>
  </si>
  <si>
    <t>Kommentar</t>
  </si>
  <si>
    <t>Liggetid</t>
  </si>
  <si>
    <t>Ny beregnet robottakst</t>
  </si>
  <si>
    <t>Langliggertakst 2014</t>
  </si>
  <si>
    <t>merudgift ved robot</t>
  </si>
  <si>
    <t>1302</t>
  </si>
  <si>
    <t>Meget komplicerede gynækologiske indgreb ved ondartet sygdom, pat. mindst 18 år, m. robot</t>
  </si>
  <si>
    <t>1303</t>
  </si>
  <si>
    <t>Meget komplicerede gynækologiske indgreb ved ondartet sygdom, pat. mindst 18 år, u. robot</t>
  </si>
  <si>
    <t>1304</t>
  </si>
  <si>
    <t>Meget komplicerede gynækologiske indgreb, m. robot</t>
  </si>
  <si>
    <t>1305</t>
  </si>
  <si>
    <t>Meget komplicerede gynækologiske indgreb, u. robot</t>
  </si>
  <si>
    <t>1306</t>
  </si>
  <si>
    <t>Komplicerede gynækologiske indgreb</t>
  </si>
  <si>
    <t>1307</t>
  </si>
  <si>
    <t>Standard gynækologisk indgreb, m. kompl. bidiag. ved ondartet sygdom, pat. mindst 18 år</t>
  </si>
  <si>
    <t>1308</t>
  </si>
  <si>
    <t>Standard gynækologisk indgreb ved ondartet sygdom m. robot, pat. mindst 18 år</t>
  </si>
  <si>
    <t>1309</t>
  </si>
  <si>
    <t>Standard gynækologisk indgreb ved ondartet sygdom u. robot, pat. mindst 18 år</t>
  </si>
  <si>
    <t>1310</t>
  </si>
  <si>
    <t>Standard gynækologisk indgreb, m. robot</t>
  </si>
  <si>
    <t>1311</t>
  </si>
  <si>
    <t>Standard gynækologisk indgreb</t>
  </si>
  <si>
    <t>1312</t>
  </si>
  <si>
    <t>Enklere gynækologiske indgreb ved ondartet sygdom, pat. mindst 18 år</t>
  </si>
  <si>
    <t>1313</t>
  </si>
  <si>
    <t>Enklere gynækologiske indgreb, m. robot</t>
  </si>
  <si>
    <t>1314</t>
  </si>
  <si>
    <t>Enklere gynækologiske indgreb</t>
  </si>
  <si>
    <t>1107</t>
  </si>
  <si>
    <t>Operationer på nyre, nyrebækken og urinleder, ondartet sygdom, pat. mindst 18 år, m. robot</t>
  </si>
  <si>
    <t>1108</t>
  </si>
  <si>
    <t>Operationer på nyre, nyrebækken og urinleder, ondartet sygdom, pat. mindst 18 år</t>
  </si>
  <si>
    <t>1109</t>
  </si>
  <si>
    <t>Operationer på nyre, nyrebækken og urinleder, godartet sygdom, m. robot</t>
  </si>
  <si>
    <t>1110</t>
  </si>
  <si>
    <t>SSI har beregnet de nye robottakster, ved at tage udgangspunkt i taksterne for den samme operation uden robot, ligge 30.000 oveni fratrukket den mindre liggetid. Fx 1302 har 3 dages mindre liggetid og regnestykket ser derfor således ud: DRG1303+(merudgift ved robot-(3*langliggetakst)).</t>
  </si>
  <si>
    <t>Ad PG13M</t>
  </si>
  <si>
    <t>At den tidligere takst på kr 920 ikke dækker de faktiske omkostninger ved P-rørssnlæggelse som ambulant/sammedagsfunktion er alle enige om. Hvorfor så omkostninger er så forskellige fra sted til sted må afspejle forskelle i hvilke eomkostninger der medinddrages i den samlede pris.</t>
  </si>
  <si>
    <t>Ved gennemgang af de faktiske omkostninger anslåes dette til i d.kr:</t>
  </si>
  <si>
    <t>"Indlæggelse" i en seng 1 fuld dag             2.500</t>
  </si>
  <si>
    <t>Medvirkende personale:</t>
  </si>
  <si>
    <t>Læge                                                      1.500</t>
  </si>
  <si>
    <t>Sygeplejerske                                          1.000</t>
  </si>
  <si>
    <t>Radiograf                                                   500</t>
  </si>
  <si>
    <t>Utensilier:</t>
  </si>
  <si>
    <t>dialysekath, sterilafdækning, sterile kitler, rengøring mv</t>
  </si>
  <si>
    <t>                                                                4.000</t>
  </si>
  <si>
    <t>Medicin                                                       500</t>
  </si>
  <si>
    <t xml:space="preserve">                                                        ____________                                                            </t>
  </si>
  <si>
    <t xml:space="preserve"> ialt                                                          10.000      </t>
  </si>
  <si>
    <t>Det er altså lige knap de 13.000 kr som omkostningsdatabaseberegningerne har ført frem til</t>
  </si>
  <si>
    <t>Lisbet Brandi, overlæge dr med, MHM</t>
  </si>
  <si>
    <t>Formand for Dansk Nefrologisk Selskab</t>
  </si>
  <si>
    <r>
      <t>Ad DRG 1101:</t>
    </r>
    <r>
      <rPr>
        <sz val="10"/>
        <color rgb="FF1F497D"/>
        <rFont val="Arial"/>
        <family val="2"/>
      </rPr>
      <t xml:space="preserve"> </t>
    </r>
  </si>
  <si>
    <t>Jeg har diskuteret dette med Ledende overlæge Bo Feldt Rasmussen, Nefrologisk Klinik Rigshospitalet. Den store forskel mellem de tre centre er ikke umiddelbart forståelig.</t>
  </si>
  <si>
    <t>Nyretx - kompliceret koden blev indført fra 2011 hvor taksten var på 493.000 kr.  Vi vil derfor henstille til SSI at de ser på de konkrete beregninger, der lå til grund for taksten da den blev oprettet. Behandlingen involverer kostbare søjler til immunadsorption i en længere varende for- og efter behandling og kostbare lægemidler før og omkring selve transplantationen. Indtil videre foreslåes taksten defor videreført uændret</t>
  </si>
  <si>
    <t>Se link til beregninger af robottakster</t>
  </si>
  <si>
    <t>Se link til beregninger</t>
  </si>
  <si>
    <t xml:space="preserve">SSI har gennemgået takstgrundlaget og indstiller til at taksten sættes til 2013-niveau. </t>
  </si>
  <si>
    <t>DRG0301 er sat. Ved beregning med kun OUH (2012+2013) og AUH (2013) vil taksten beregnes til ca. 485.000 kr., hvis AUH tælles dobbelt i år 2013. SSI indstiller til at taksten beregnes med disse sygehus.</t>
  </si>
  <si>
    <t xml:space="preserve">DRG0403 blev sat i 2014, men beregnet 2009-2013.
DRG0403:
2013: 52.699 kr.
2012: 51.893 kr.
2011: 71.013 kr.
2010: 57.151 kr.
SSI indstiller, at taksten beregnes på baggrund af takstgrundlag for AUH + Aalborg, hvilket giver en takst på ca. 55.000 kr. </t>
  </si>
  <si>
    <t xml:space="preserve">DRG0404 blev sat i 2014, beregnet 2011-2013, sat i 2010. 
DRG0404:
2014 + 2015 : Trimpunkt 21 dage
2013: 194.816 kr. Trimpunkt: 22 dage
2012: 186.624 kr. Trimpunkt: 25 dage
2011: 174.353 kr. Trimpunkt: 29 dage
SSI indstiller til at taksten sættes til 2013-niveau. </t>
  </si>
  <si>
    <t xml:space="preserve">DRG0444 blev sat i 2014, men beregnet i 2010-2014. Se evt. takstgrundlag.
DRG0444:
2015: Trimpunkt: 4 dage
2014: Trimpunkt: 6 dage 
2013: 37.199 kr. Trimpunkt: 9 dage
2012: 33.582 kr. Trimpunkt 11 dage
2011: 33.413 kr. Trimpunkt 21 dage
2010: 31.167 kr.
Det vurderes, at den beregnede takst følger udviklingen i liggetid SSI indstiller, at vi fortsat beregner taksten. </t>
  </si>
  <si>
    <t>Gråzone. Kun 1 pt. i det ambulante. DRG0804 sat i 2010,2013,2014, beregnet i 2011 og 2012. Der er 1.200 patienter med i takstgrundlaget. SSI indstiller til at fastholde den beregnede takst.
DRG0804:
2013: 94.590 kr.
2012: 93.758 kr.
2011: 97.437 kr.
2010: 93.709 kr.</t>
  </si>
  <si>
    <t xml:space="preserve">Taksten har været sat i 2012-2014. SSI har ingen baggrund for at takstgrundlaget ikke er korrekt. SSI indstiller derfor til at taksten fortsat beregnes. </t>
  </si>
  <si>
    <t xml:space="preserve">SSI indstiller til at taksten sættes til 2013-niveau. </t>
  </si>
  <si>
    <t>SSI indstiller til at taksten sættes til takstbud fra Aarhus Universitetshospital, Region Midtjylland; 24.189,63 kr.</t>
  </si>
  <si>
    <t>SSI ønsker DRG udvalgets vurdering af DRG 0876. 
Se evt. takstgrundlag</t>
  </si>
  <si>
    <t xml:space="preserve">SSI indstiller til at omkostningsdatabase 2012 holdes ude af MDC14, og kun benytte 2013. SSI ønsker DRG udvalgets vurdering heraf. </t>
  </si>
  <si>
    <t xml:space="preserve">Der findes data for DRG1433. Desværre fremgår det ikke af eSundhed. </t>
  </si>
  <si>
    <t>Enig, SSI arbejder på at alle tre punkter er opfyldt til næste takstberegning.</t>
  </si>
  <si>
    <t xml:space="preserve">Enig </t>
  </si>
  <si>
    <t>Enig, SSI fortsætter arbejdet med at udarbejde afhængighedstabeller.</t>
  </si>
  <si>
    <t>Enig, det vil SSI følge op på.</t>
  </si>
  <si>
    <t xml:space="preserve">Det er forståeligt. SSI arbejder løbende på forbedringer. </t>
  </si>
  <si>
    <t>Metoden tages op i DRG udvalget.</t>
  </si>
  <si>
    <t>Der vil blive foretaget en evaluering medio 2014.</t>
  </si>
  <si>
    <t>Datagrundlaget er tilgængelig på eSundhed.</t>
  </si>
  <si>
    <t xml:space="preserve">Økonomien og aktivteten kobles som der er mappet i mapningstabellerne. I 2012 er der mappet med flere sygehusnumre, mens det først er i 2013 at der kun er mappet med et samlet sygehusnummer. Forskellen i mapningstabellerne mellem årene afspejles i omkostningsdatabasen. </t>
  </si>
  <si>
    <t>Rigshospitalets gns. omkostninger er i 2012 markant højere end de andre sygehuse's gns. omkostninger, samt er der væsentlig forskel på RH's gns. Omkostninger i 2012 og 2013. Det vurderes at taksten godt kan beregnes, hvis markant afvigende gns. omkostninger udeholdes</t>
  </si>
  <si>
    <t>039 - Hjertemedicinsk klinik B, ambulatorium</t>
  </si>
  <si>
    <t>399 - Tand-, mund- og kæbekirurgisk klinik Z, amb.</t>
  </si>
  <si>
    <t>N8D - NAE Klin. Onkologisk Amb.</t>
  </si>
  <si>
    <t>198 - Od Skadestuen</t>
  </si>
  <si>
    <t>319 - Od Kæbekirurgisk ambulatorium K</t>
  </si>
  <si>
    <t>439 - OUH FællesAkutAmb. (Odense)</t>
  </si>
  <si>
    <t>719 - OUH Geriatrisk Amb. (Svendborg)</t>
  </si>
  <si>
    <t>058 - OUH Skadestuen (Svendborg)</t>
  </si>
  <si>
    <t>05S - SVS Neurologisk ambulatorium (Esbjerg)</t>
  </si>
  <si>
    <t>08T - SVS Tand- Mund- og Kæbekirurgisk ambulatorium (Esbjerg)</t>
  </si>
  <si>
    <t>309 - Tand- Mund- og Kæbekir. Ambulatorium O</t>
  </si>
  <si>
    <t>257 - Karkirurgisk ambulatorium, Viborg</t>
  </si>
  <si>
    <t>119 - Thy Kirurgisk Overambulatorium</t>
  </si>
  <si>
    <t>359 - Alb Kæbekirurgisk ambulatorium</t>
  </si>
  <si>
    <t>07D - Frh Kirurgisk dagafdeling</t>
  </si>
  <si>
    <t>PG10D</t>
  </si>
  <si>
    <t>109 - Hæmatologisk klinik L, ambulatorium</t>
  </si>
  <si>
    <t>269 - Øre-, næse- og halskirurgisk klinik F, amb.</t>
  </si>
  <si>
    <t>288 - Traumecenter og Akut Modtagelse TC, Visiteret skadestue</t>
  </si>
  <si>
    <t>32O - Hæm/onk børneambulatorium, GGK</t>
  </si>
  <si>
    <t>39V - Odontologisk Videnscenter, Z amb</t>
  </si>
  <si>
    <t>669 - Klinik for Plastikkirurgi og Brandsårsbehandl. PBB, amb.</t>
  </si>
  <si>
    <t>377 - Klinik for gigt- og rygsygdomme C2A</t>
  </si>
  <si>
    <t>489 - Reumatologisk ambulatorie RMA</t>
  </si>
  <si>
    <t>139 - Onkologisk ambulatorium R/A</t>
  </si>
  <si>
    <t>259 - Plastikkirurgisk amb.V/A</t>
  </si>
  <si>
    <t>29A - HI Øre-næse-halsafd., amb.</t>
  </si>
  <si>
    <t>A08 - ROS Med. Skade</t>
  </si>
  <si>
    <t>Q1D - NAE Tand-Mund-Kæbekir. Amb.</t>
  </si>
  <si>
    <t>X2D - NFS Øre-Næse-Halskir. Amb.</t>
  </si>
  <si>
    <t>239 - Od Plastikkirurgisk ambulat. Z</t>
  </si>
  <si>
    <t>339 - Od Geriatrisk afdeling G, ambulatorium</t>
  </si>
  <si>
    <t>679 - OUH Resp.center Syd Amb. RS (Odense)</t>
  </si>
  <si>
    <t>739 - OUH Medicinsk Amb. (Svendborg)</t>
  </si>
  <si>
    <t>309 - SHS Øre-næse-halsklinikken Ambulatorier (Sønderborg)</t>
  </si>
  <si>
    <t>176 - Kæbekirurgisk dagafsnit</t>
  </si>
  <si>
    <t>179 - Kæbekirurgisk ambulatorium</t>
  </si>
  <si>
    <t>028 - SVS Skadestue (Esbjerg)</t>
  </si>
  <si>
    <t>04D - Medicinsk dagskirurgisk afdeling - HEH</t>
  </si>
  <si>
    <t>07D - Kirurgisk dagkirurgisk afdeling - HEH</t>
  </si>
  <si>
    <t>119 - Pædiatrisk ambulatorium, Kolding</t>
  </si>
  <si>
    <t>148 - Ortopædkirugisk skadestue, Kolding</t>
  </si>
  <si>
    <t>209 - Medicinsk ambulatorium, Fredericia</t>
  </si>
  <si>
    <t>208 - Skadestuen</t>
  </si>
  <si>
    <t>059 - Reumatologisk Ambulatorium U</t>
  </si>
  <si>
    <t>159 - Neurologisk Ambulatorium F</t>
  </si>
  <si>
    <t>199 - Øre-, Næse- og Halskirurgisk Ambulatorium H</t>
  </si>
  <si>
    <t>239 - Plastikkirurgisk Ambulatorium Z</t>
  </si>
  <si>
    <t>307 - Tand- Mund- og Kæbekir. Dagkirurgi O</t>
  </si>
  <si>
    <t>378 - Skadestuen Fælles AKUT Afdeling</t>
  </si>
  <si>
    <t>059 - Kirurgisk Ambulatorium Viborg</t>
  </si>
  <si>
    <t>30D - Ambulatorium for Mave-Tarmsygdomme Silkeborg</t>
  </si>
  <si>
    <t>30F - Lungemedicinsk Ambulatorium Silkeborg</t>
  </si>
  <si>
    <t>30H - Reumatologisk Ambulatorium Silkeborg</t>
  </si>
  <si>
    <t>30J - Medicinsk Tværfaglig Ambulatorium Silkeborg</t>
  </si>
  <si>
    <t>057 - Medicinsk ambulatorium</t>
  </si>
  <si>
    <t>126 - Hob Kirurgisk Sammedagskirurgi</t>
  </si>
  <si>
    <t>226 - Alb Øre-næse-hals deldøgnsafs</t>
  </si>
  <si>
    <t>229 - Alb Øre,næse,hals ambulatorium</t>
  </si>
  <si>
    <t>PG10E</t>
  </si>
  <si>
    <t>417 - Læbe-Ganespalte Centret, Ambulatorium</t>
  </si>
  <si>
    <t>374 - Medicinsk Amb.C3A Apopleksi</t>
  </si>
  <si>
    <t>379 - Klinik for ældresygdomme C1A</t>
  </si>
  <si>
    <t>04G - SVS Gynækologisk ambulatorium (Esbjerg)</t>
  </si>
  <si>
    <t>Hvis taksten beregnes kommer den ca. til at ligge på 1887 kr. Der er ingen implantatomkostninger i denne gruppe. SSI indstiller til at taksten beregnes.</t>
  </si>
  <si>
    <t xml:space="preserve">SSI har beregnet et beløb ved at tage totalomkostningerne fratrukket lønomkostninger fra omkostningsdatabasen 2012 på de onkologiske ambulatorier. 
De er fjernet fra fordelingsregnskaberne ved at fordele en indtægt svarende til beløbet og fordele det 100 pct. til det onkologiske ambulatorium. </t>
  </si>
  <si>
    <t xml:space="preserve">SSI har set på takstgrundlag. Hvis Rigshospitalet alene danner grundlag, vil taksten ligge på ca. kr. 63.000. Se evt. takstgrundlag.
SSI ønsker DRG-udvalgets vurdering. </t>
  </si>
  <si>
    <t>Takstgrundlag til DRG0113</t>
  </si>
  <si>
    <t>Kommentar:</t>
  </si>
  <si>
    <t xml:space="preserve">Høringssvar: KUN riget, som skal indgå. </t>
  </si>
  <si>
    <t>C_SGH</t>
  </si>
  <si>
    <t>C_AFD</t>
  </si>
  <si>
    <t>V_AFDNAVN</t>
  </si>
  <si>
    <t>C_SPECIALE1</t>
  </si>
  <si>
    <t>D_TILDTO</t>
  </si>
  <si>
    <t>C_EKSK_TG</t>
  </si>
  <si>
    <t>Loen_gns</t>
  </si>
  <si>
    <t>Totcost_gns</t>
  </si>
  <si>
    <t xml:space="preserve">Da vil taksten blive ca. 63.000 kr. </t>
  </si>
  <si>
    <t>Neurologisk klinik N, heldøgn</t>
  </si>
  <si>
    <t>Intensiv pædiatri, GGK heldøgn</t>
  </si>
  <si>
    <t>Børneafdelingen</t>
  </si>
  <si>
    <t>Børneafdelingen, Dagafsnit</t>
  </si>
  <si>
    <t>Neurologisk afdeling N</t>
  </si>
  <si>
    <t>Neurologisk afdeling N, sengeafd.</t>
  </si>
  <si>
    <t>H80</t>
  </si>
  <si>
    <t>HOL Pædiatrisk Afd.</t>
  </si>
  <si>
    <t>N90</t>
  </si>
  <si>
    <t>NAE Pædiatrisk Afd.</t>
  </si>
  <si>
    <t>Neurologisk Afdeling N</t>
  </si>
  <si>
    <t>Børneafdelingen H</t>
  </si>
  <si>
    <t>Med. hæmatologisk afsnit</t>
  </si>
  <si>
    <t>Hæmatologisk Afdeling R</t>
  </si>
  <si>
    <t>Neurologisk Afdeling F</t>
  </si>
  <si>
    <t>Medicinske Senge Holstebro</t>
  </si>
  <si>
    <t>Neurologiske Senge Holstebro</t>
  </si>
  <si>
    <t>Pædiatrisk afdeling A</t>
  </si>
  <si>
    <t>Medicinsk afdeling, Viborg</t>
  </si>
  <si>
    <t>Alb Neurologisk afd.</t>
  </si>
  <si>
    <t xml:space="preserve">SSI's dataudtræk til undersøgelse af høringssvar. </t>
  </si>
  <si>
    <t xml:space="preserve">Rigshospitalets beregninger fra forslaget: "Den gennemsnitlige vægtede drg-værdi for de robot-opererede patienter udgør 58.744 kr. Det foreslås derfor, at der oprettes en drg-gruppe Operationer på hoved og hals, med robot med udgangspunkt i denne værdi som tillægges meromkostning for robotindgreb, som beregnet nedenfor (35.612 kr. plus overhead 30%, i alt 46.296 kr.), altså i alt 105.040 kr.".
SSI indstiller, at overhead fjernes fra robot-udgifterne, da overhead allerede er inkluderet i den gennemsnitlige vægtede drg-værdi for de robot-opererede patienter. SSI indstiller derfor til at taksten sættes til: 58.744 kr. + 35.612 kr. = 94.356 kr. </t>
  </si>
  <si>
    <t>Taksten blev beregnet i år 2013 (130.758 kr.), ellers har den været sat siden 2009.
SSI indstiller til at taksten sættes til takst 2013.</t>
  </si>
  <si>
    <t>Takstgrundlag til DRG0876</t>
  </si>
  <si>
    <t>X00</t>
  </si>
  <si>
    <t>NFS Ortopædkirurgisk Afd.</t>
  </si>
  <si>
    <t>Ortopædkirurgisk Afsnit O, OUH</t>
  </si>
  <si>
    <t>P70</t>
  </si>
  <si>
    <t>NAE Ortopædkirurgisk Afd.</t>
  </si>
  <si>
    <t>Ortopædkirurgisk afd. M</t>
  </si>
  <si>
    <t>Ortopædkirurgisk afdeling K</t>
  </si>
  <si>
    <t>Afdeling for Hofte- og Knæproteser Z5</t>
  </si>
  <si>
    <t>Ortopædkirurgisk afdeling</t>
  </si>
  <si>
    <t>Ortopædkirurgisk Sengeafdeling Silkeborg</t>
  </si>
  <si>
    <t>Ortopædkirurgisk klinik</t>
  </si>
  <si>
    <t>E20</t>
  </si>
  <si>
    <t>KOE Ortopædkirurgisk Afd.</t>
  </si>
  <si>
    <t>Ortopæd-kirurgisk afdeling</t>
  </si>
  <si>
    <t>SVS Ortopædkirurgisk afsnit (Esbjerg)</t>
  </si>
  <si>
    <t>Ortopædkirurgisk sengeafdeling - HEH</t>
  </si>
  <si>
    <t>Kirurgisk sengeafs.</t>
  </si>
  <si>
    <t>Frh O-kir sengeafdeling</t>
  </si>
  <si>
    <t>SVS Ortopædkirurgisk afsnit (Grindsted)</t>
  </si>
  <si>
    <t>HI Ortkir. Afd., senge</t>
  </si>
  <si>
    <t>18G</t>
  </si>
  <si>
    <t>Hofte Stamafdeling Ortopædkirurgi</t>
  </si>
  <si>
    <t>Ortopæd-kirurgisk afdeling T</t>
  </si>
  <si>
    <t>Ortopæd-kirurgisk afdeling O</t>
  </si>
  <si>
    <t>Videncenter reum/ryg seng VRR</t>
  </si>
  <si>
    <t>18K</t>
  </si>
  <si>
    <t>Knæ Stamafdeling Ortopædkirurgi</t>
  </si>
  <si>
    <t>Ortopædkirurgisk afdeling, Kolding</t>
  </si>
  <si>
    <t>Ortopædkirurgisk afdeling, Viborg</t>
  </si>
  <si>
    <t>J40</t>
  </si>
  <si>
    <t>HOL Ortopædkirurgisk Afd.</t>
  </si>
  <si>
    <t>Ortopæd-kirurgisk afd., Sygehus Fyn</t>
  </si>
  <si>
    <t>SHS Ortopædisk Klinik Sengeafdeling (Sønderborg)</t>
  </si>
  <si>
    <t>Ortopædkirurgiske Senge Holstebro</t>
  </si>
  <si>
    <t>25B</t>
  </si>
  <si>
    <t>Ortopædkirurgisk klinik U, alloplastikkir., heldøgn</t>
  </si>
  <si>
    <t>Ortopædkirurgisk Sengeafdeling, FRH</t>
  </si>
  <si>
    <t>D80</t>
  </si>
  <si>
    <t>KOE Akut Afd.</t>
  </si>
  <si>
    <t>R80</t>
  </si>
  <si>
    <t>SLA Akut Afd.</t>
  </si>
  <si>
    <t>S30</t>
  </si>
  <si>
    <t>SLA Ortopædkirurgisk Afd.</t>
  </si>
  <si>
    <t>Ortopædkirurgisk Sengeafdeling Viborg</t>
  </si>
  <si>
    <t>Thy Ortopæd. sengeafdeling</t>
  </si>
  <si>
    <t>Far O-kir sengeafdeling</t>
  </si>
  <si>
    <t>MMO/AMA senge</t>
  </si>
  <si>
    <t>Ortopædkirurgisk afd. A</t>
  </si>
  <si>
    <t>Reumatologisk sengeafdeling RM</t>
  </si>
  <si>
    <t>Ortopædkir. afd. E, sekt. AAS</t>
  </si>
  <si>
    <t>26OCT2012</t>
  </si>
  <si>
    <t>Alb O-kir sengeafdeling</t>
  </si>
  <si>
    <t>Hjr O-kir sengeafdeling</t>
  </si>
  <si>
    <t>Medicinsk afdeling F</t>
  </si>
  <si>
    <t>Medicinsk afdeling O sengeafd.</t>
  </si>
  <si>
    <t>HI Lunge- &amp; Infmed. Afd, senge</t>
  </si>
  <si>
    <t>Livsstilcentret, Brædstrup - HEH</t>
  </si>
  <si>
    <t>Infektionsmedicinsk afd.</t>
  </si>
  <si>
    <t>HI Kard-Nefro-Endo Afd., senge</t>
  </si>
  <si>
    <t>FS Medicinsk Afd., senge</t>
  </si>
  <si>
    <t>Medicinsk Endokrinologisk Afdeling MEA</t>
  </si>
  <si>
    <t>Thy Akut Modtageafdeling</t>
  </si>
  <si>
    <t>Hob Akut Medicinsk Modtageafs.</t>
  </si>
  <si>
    <t>Akut modtageafdeling</t>
  </si>
  <si>
    <t>Akut Modtagelse Observation</t>
  </si>
  <si>
    <t>H90</t>
  </si>
  <si>
    <t>HOL Akut Afd.</t>
  </si>
  <si>
    <t>W40</t>
  </si>
  <si>
    <t>NFS Akut Afd.</t>
  </si>
  <si>
    <t>Akutafdeling</t>
  </si>
  <si>
    <t>Medicinsk Sengeafdeling Silkeborg</t>
  </si>
  <si>
    <t>Akut senge Herning</t>
  </si>
  <si>
    <t>Lungemedicin senge</t>
  </si>
  <si>
    <t>Endokrinologi senge</t>
  </si>
  <si>
    <t>Medicinsk afdeling for gigt- og rygsygdomme C2</t>
  </si>
  <si>
    <t>Medicinsk afdeling M</t>
  </si>
  <si>
    <t>FS Lunge- &amp; Infmed. Afd, senge</t>
  </si>
  <si>
    <t>HL Medicinsk Afd., senge</t>
  </si>
  <si>
    <t>A00</t>
  </si>
  <si>
    <t>ROS Medicinsk Afd.</t>
  </si>
  <si>
    <t>D00</t>
  </si>
  <si>
    <t>KOE Medicinsk Afd.</t>
  </si>
  <si>
    <t>Medicinsk sengeafs.</t>
  </si>
  <si>
    <t>OUH FællesAkutAfsnit (Odense)</t>
  </si>
  <si>
    <t>Reumatologisk Afdeling U</t>
  </si>
  <si>
    <t>Alb Rheumatologisk afd.</t>
  </si>
  <si>
    <t>Ortopædkirurgisk klinik U, børnekirurgi, heldøgn</t>
  </si>
  <si>
    <t>Medicinsk afdeling I</t>
  </si>
  <si>
    <t>Intern medicin, sengeafdeling</t>
  </si>
  <si>
    <t>Geriatri. Senge</t>
  </si>
  <si>
    <t>Coronar med. senge</t>
  </si>
  <si>
    <t>40C</t>
  </si>
  <si>
    <t>Ortopædkirurgisk afdeling Z3</t>
  </si>
  <si>
    <t>FS Kardio-Endokrin Afd., senge</t>
  </si>
  <si>
    <t>V00</t>
  </si>
  <si>
    <t>NFS Medicinsk Afd.</t>
  </si>
  <si>
    <t>05Z</t>
  </si>
  <si>
    <t>SVS Akut Medicinsk Modtage afsnit (Esbjerg)</t>
  </si>
  <si>
    <t>Akutafdelingen sengeafdeling - HEH</t>
  </si>
  <si>
    <t>Medicinsk afdeling, Kolding</t>
  </si>
  <si>
    <t>18I</t>
  </si>
  <si>
    <t>Idræt Stamafdeling Ortopædkirurgi</t>
  </si>
  <si>
    <t>18U</t>
  </si>
  <si>
    <t>Traume Stamafdeling Ortopædkirurgi</t>
  </si>
  <si>
    <t>Thy Med. sengeafdelinger</t>
  </si>
  <si>
    <t>Alb Endokrinologisk afd.</t>
  </si>
  <si>
    <t>Alb Hæmatologisk afd.</t>
  </si>
  <si>
    <t>Far Medicinsk afd.</t>
  </si>
  <si>
    <t>Hob Medicinsk afdeling</t>
  </si>
  <si>
    <t>Ortopædkir. klinik U, semiintensiv sengefunktion</t>
  </si>
  <si>
    <t>Ortopædkirurgisk klinik U, heldøgn</t>
  </si>
  <si>
    <t>25A</t>
  </si>
  <si>
    <t>Ortopædkirurgisk klinik U, tumorkirurgi, heldøgn</t>
  </si>
  <si>
    <t>Kardiologisk afdeling Y</t>
  </si>
  <si>
    <t>Lungemedicinsk afdeling</t>
  </si>
  <si>
    <t>07A</t>
  </si>
  <si>
    <t>Med. gastroenterologisk afsnit</t>
  </si>
  <si>
    <t>Kardiologisk klinik</t>
  </si>
  <si>
    <t>Geriatrisk klinik</t>
  </si>
  <si>
    <t>03MAY2014</t>
  </si>
  <si>
    <t>Reum. Afdeling H, Reum. senge</t>
  </si>
  <si>
    <t>Nefrologisk afdeling B</t>
  </si>
  <si>
    <t>HI Neurologisk Afd., senge</t>
  </si>
  <si>
    <t>A82</t>
  </si>
  <si>
    <t>ROS Neurovaskulær Afd.</t>
  </si>
  <si>
    <t>A90</t>
  </si>
  <si>
    <t>ROS Klin. Onkologisk Afd.</t>
  </si>
  <si>
    <t>N00</t>
  </si>
  <si>
    <t>NAE Intern Medicinsk Afd</t>
  </si>
  <si>
    <t>N40</t>
  </si>
  <si>
    <t>NAE Geriatrisk Afd.</t>
  </si>
  <si>
    <t>P50</t>
  </si>
  <si>
    <t>NAE Urologisk Afd.</t>
  </si>
  <si>
    <t>R40</t>
  </si>
  <si>
    <t>SLA Geriatrisk Afd.</t>
  </si>
  <si>
    <t>V40</t>
  </si>
  <si>
    <t>NFS Geriatrisk Afd.</t>
  </si>
  <si>
    <t>OUH Geriatrisk Afsnit (Svendborg)</t>
  </si>
  <si>
    <t>OUH Fælles Akut Afs. (Svendborg)</t>
  </si>
  <si>
    <t>Geriatrisk afd., Sygehus Fyn</t>
  </si>
  <si>
    <t>SHS Børn- og ungeklinikken Sengeafdeling (Sønderborg)</t>
  </si>
  <si>
    <t>SVS Neurologisk afsnit (Esbjerg)</t>
  </si>
  <si>
    <t>05A</t>
  </si>
  <si>
    <t>SVS Reumatologisk afsnit (Esbjerg)</t>
  </si>
  <si>
    <t>SVS Kardiologisk afsnit (Grindsted)</t>
  </si>
  <si>
    <t>Medicinsk Afdeling - HEH</t>
  </si>
  <si>
    <t>Med. afsnit, gastroenterologi</t>
  </si>
  <si>
    <t>Geriatrisk Afdeling G</t>
  </si>
  <si>
    <t>18O</t>
  </si>
  <si>
    <t>Infektion Stamafdeling Ortopædkirurgi</t>
  </si>
  <si>
    <t>Medicinsk Sengeafdeling Viborg</t>
  </si>
  <si>
    <t>Medicinsk afdeling</t>
  </si>
  <si>
    <t>Alb Neurokir. Afd.</t>
  </si>
  <si>
    <t>Dro Medicinsk Afdeling</t>
  </si>
  <si>
    <t>Hjr Reumatologisk sengeafd.</t>
  </si>
  <si>
    <t>Hjr Kirurgisk afd.</t>
  </si>
  <si>
    <t>HJR Medicinsk Sengeafsnit</t>
  </si>
  <si>
    <t>FRH Medicinsk Sengeafdeling</t>
  </si>
  <si>
    <t xml:space="preserve">DRG-taksten blev beregnet til 20.818 kr. Taksten blev sat, da kun 1301 og 4212 havde observationer og meget forskellige omkostningsniveauer. SSI indstiller derfor til at denne takst fortsat sættes og dermed også DRG1427. </t>
  </si>
  <si>
    <t xml:space="preserve">Der er mange observationer til grund for takstberegning. DRG-taksten sættes alligevel på baggrund af afhængighedsforhold til DRG1428. DRG-taksten for DRG1427 var beregnet til 24.701 kr. SSI indstiller til at denne takst fortsat sættes på baggrund af dette afhængighedsforhold. </t>
  </si>
  <si>
    <t>W</t>
  </si>
  <si>
    <t>Dansk Thoraxkirurgisk Selskab</t>
  </si>
  <si>
    <t>Dansk Thoraxkirurgisk Selskab finder det betænkeligt at DRG satserne for 2015 er reduceret kraftigt i forhold til DRG satserne for 2014. Dansk Thoraxkirurgisk Selskab frygter at SST har opfattelsen af at sammedagskirurgi/ ambulant kirurgi vil få en tiltagende større plads i alle de kirurgiske specialer, hvilket næppe kommer til at ske indenfor især hjertekirugien, hvorfor vores anke i væsentligste grad er vedrørende de fremlagte satser for 2015 for henholdsvis aortaklapsubstitution, revaskulariserende kirurgi samt anvendelse af ekstarkorporal cirkulation til svært syge patienter.
Dansk Thoraxkirurgisk Selskab ønsker derfor klarlagt fra SST side hvorledes man er kommet frem til beregninger, der kan reducere udgifterne i forbindelse med ovenstående med op til 35% for dialysekrævende patienter, der skal kirurgisk re-vaskulariseres.</t>
  </si>
  <si>
    <t>Generelt - aortaklapsubstitution, revaskulariserende kirurgi samt anvendelse af ekstarkorporal cirkulation til svært syge patienter.</t>
  </si>
  <si>
    <t xml:space="preserve">SSI har ikke modtaget høringssvar til denne DRG. SSI indstiller til at DRG-taksten sættes til DRG-takst 2013. </t>
  </si>
  <si>
    <t>Da taksterne er sat, indgår de ikke i bilag 5.4, som viser sygehuse og antal observationer til grundlag for takstberegning 2015.</t>
  </si>
  <si>
    <t xml:space="preserve">Region Hovedstaden </t>
  </si>
  <si>
    <t>Det er i overensstemmelse med den kliniske opfattelse, at takster der vedrører komplicerede operationer herunder rygkirurgiske, samt operationer af akut karakter og operationer mhp behandling af infektioner er omkostningstunge. Imidlertid er andre indgreb som også er omkostningstunge justeret betragteligt ned. Det drejer sig f.eks. om Rekonstruktion, overekstremitet, store led (0842).</t>
  </si>
  <si>
    <t>0846</t>
  </si>
  <si>
    <t>Pseudoartrose el. artrodese, underekstremitet, store led</t>
  </si>
  <si>
    <t>Det er i overensstemmelse med den kliniske opfattelse, at takster der vedrører komplicerede operationer herunder rygkirurgiske, samt operationer af akut karakter og operationer mhp behandling af infektioner er omkostningstunge. Imidlertid er andre indgreb som også er omkostningstunge justeret betragteligt ned. Det drejer sig f.eks. om Pseudoartrose el. artrodese, underekstremitet, store led (0846).</t>
  </si>
  <si>
    <t>0848</t>
  </si>
  <si>
    <t>Artrodese, ankel</t>
  </si>
  <si>
    <t>Det er i overensstemmelse med den kliniske opfattelse, at takster der vedrører komplicerede operationer herunder rygkirurgiske, samt operationer af akut karakter og operationer mhp behandling af infektioner er omkostningstunge. Imidlertid er andre indgreb som også er omkostningstunge justeret betragteligt ned. Det drejer sig f.eks. om Artrodese, ankel (0848).</t>
  </si>
  <si>
    <t>2109</t>
  </si>
  <si>
    <t>Traumemodtagelse</t>
  </si>
  <si>
    <t>Det er i overensstemmelse med den kliniske opfattelse, at takster der vedrører komplicerede operationer herunder rygkirurgiske, samt operationer af akut karakter og operationer mhp behandling af infektioner er omkostningstunge. Flere af disse gruppe er justeret op. Imidlertid er andre indgreb som også er omkostningstunge justeret betragteligt ned. Det drejer sig f.eks. om at taksten for traumekald (2109) er reduceret med 37%.</t>
  </si>
  <si>
    <t>Høringsfasen er for klinisk aktivt personale for kort.</t>
  </si>
  <si>
    <t>DRG2109 er blevet en gråzone i år 2015.</t>
  </si>
  <si>
    <t xml:space="preserve">SSI indstiller til at taksten sættes til 2013-niveau, hvor taksten blev beregnet. </t>
  </si>
  <si>
    <t>SSI indstiller til at DRG 0907 sættes til 2xDRG 0908 (174.000 kr).</t>
  </si>
  <si>
    <t>Herlev har udarbejdet en beregning på DRG 0913. Det indstilles til at denne beregning følges og taksten sættes til 72.600 kr. Takstbuddet har været forbi Troels Tei fra Plastikirurgisk selskab og han synes takstbuddet lød en anelse lavt, han ville gerne lande på 85-90.000 kr. (der er ikke udarbejdet en beregning til at understøtte dette tal).</t>
  </si>
  <si>
    <t>Herlev har udarbejdet en beregning på DRG 0914. Det indstilles til at denne beregning følges og taksten sættes til 49.256 kr.</t>
  </si>
  <si>
    <t xml:space="preserve">SSI indstiller til at taksterne for både 0909 og 0910 sættes til 2013 takst: 62.509 kr. (0909) og 52.493 kr. (0910). </t>
  </si>
  <si>
    <t xml:space="preserve">Rigshospitalet er blevet kontaktet med henblik på uddybelse af høringssvaret. SSI indstiller til at DRG 1116 sættes til takst 2013 - 48.181 kr. </t>
  </si>
  <si>
    <t>SSI har på baggrund af beregninger fra Herlev Hospital genberegnet robottaksterne for MDC 11 og 13. Herlevs beregninger viser, at der er en merudgift på ca. 30.000 kr. pr. operation der udføres med robot, i forhold til en tilsvarende operation uden robot. Der er typisk en mindre liggetid ved robotoperationer og den mindre liggetid er blevet fratrukket merudgiften.  SSI indstiller til at de nye beregnede robottakster følges for både MDC 11 og 13.</t>
  </si>
  <si>
    <t>SSI indstiller til at DRG 1501-1503 sættes til takst 2013.</t>
  </si>
  <si>
    <t>Rigshospitalet er blevet bedt om at validere deres omkostninger for denne gruppe og de mener ligesom AUH,  at deres omkostninger ikke bør danne grundlag for en omkostningsberegning. AUH og Rigshospitalet er de eneste der udfører denne transplantation. SSI indstiller til at AUH's takstbud følges og taksten sættes til 400.000 kr.</t>
  </si>
  <si>
    <t>SSI øsnker DRG udvalgets vurdering af 2113 og 0812. SSI indstiller til at 0812 sættes til 78.000 kr. (takstgrundlaget er meget sparsomt) og at 0812 evt. justeres ned på niveau med 2113. Den beregnede takst for 0812 er 98.072 kr.</t>
  </si>
  <si>
    <t>Genberegning af taksten viser, at selvom vi fjerner usikre omkostninger, så vil taksten alligevel lande på omkring de 70.000 kr. SSI indstiller til at den beregnede takst fastholdes.</t>
  </si>
  <si>
    <t>SSI genberegner taksten og følger specialeplanen (Næstved sygehus inkluderes nu i beregningen).</t>
  </si>
  <si>
    <t>Herlev har udarbejdet en beregning for DRG 2650, det indstilles til at denne beregning følges og taksten sættes til 148.377 kr. Takstbuddet har været forbi Troels Tei fra Plastikirurgisk selskab og han synes takstbuddet lød meget fornuftigt.</t>
  </si>
  <si>
    <t>SSI ønsker en diskussion i DRG udvalget omkring strålebehandlingsgrupperne. Det indbyrdes afhængighedsforhold kan ikke ses i takstgrundlaget. Især ved 2712 og 2714 er der i omkostningsdatabaserne for 2012 og 2013 ikke stor forskel på omkostningerne for kompleks og konventionel behandling (taksternehar de sidste år også ligge meget tæt op af hinanden).</t>
  </si>
  <si>
    <t xml:space="preserve">SSI foreslår at taksten beregnes på data fra Rigshospitalet og Aarhus. Der er ikke data for Aarhus i 2012, så 2013 vil blive vægtet med 2. det vil give en takst på ca. 3.000 kr. </t>
  </si>
  <si>
    <t>Aarhus er med i 2012, det er for DG30K at der ingen data er for Aarhus i 2012. SSI kan ikke genkende at taksterne svinger meget i takstberegningsgrundlaget. De beregnede gennemsnitlige omkostninger for omk.db. 2013 og for begge 2012 omk. Db. ligger på et nogenlunde homogent niveau. SSI indstiller til at den beregnede takst fastholdes.</t>
  </si>
  <si>
    <t>SSI indstiller til at taksten sættes til takst 2013 12.546 kr., takstgrundlaget er meget sparsomt og der er stor variation i gns. Omkostningerne i omk. db. 2012 og 2013</t>
  </si>
  <si>
    <t>243 patienter grupperer til svær, 5.243 til middel og 77 til let (omk.db. 2013). SSI foreslår vi beregner PG10B middel og sætter let og svær niveaumæssigt efter middel. Middel vil så blive beregnet til ca. 3405 kr. (et fald fra 5.109 kr. i 2014). Svær ville blive niveausat til ca. 4627 kr og let til ca. 1327 kr.</t>
  </si>
  <si>
    <t>SSI indstiller til at taksten fortsat beregnes, da vi ikke  har grund til at tro at takstgrundlaget ikke er retvisende.</t>
  </si>
  <si>
    <t xml:space="preserve">SSI indstiller til at beregningerne fra Dansk Nefrologisk Selskab følges og taksten for DAGS PG13M sættes til 10.000 kr. </t>
  </si>
  <si>
    <t>SSI har taget kontakt til Region Sjælland for at få valideret deres omkostninger for denne takstgruppe.</t>
  </si>
  <si>
    <t>Sygehus 1301, Rigshospitalet</t>
  </si>
  <si>
    <t xml:space="preserve">SSI fortsætter arbejdeet med udsvingsbånd. 
Mekanismerne for takstjustering ift de tilrettede driftudgifter gør, at selv satte takster ændres ved denne justering ligesom takster med udsvingsbånd kan justeres under/over båndene på justeringstidspunktet, da dette forekommer efter alle takster er beregnet. </t>
  </si>
  <si>
    <t xml:space="preserve">Justeringen af takster i forhold til de Tilrettede Driftsudgifter sker således at forholdet mellem det stationære og ambulante område fastholdes. Da taksterne indenfor de to områder udvikler sig uens, sker niveaujusteringen med forskellige faktorer. </t>
  </si>
  <si>
    <t>SSI fortsætter arbejdet med udvikling af valideringsmekanismer i takstberegningen</t>
  </si>
  <si>
    <t xml:space="preserve">Enig. Dette er dog ikke noget SSI har mulighed for at ændre på, da takstberegningsperioden er afgrændet af regionernes mulighed for at aflevere fordelingsregnskaber og endelig aktivitetsopgørelse i den ene ende og den politiske process vedr. økonomiaftalen i den anden ende.  </t>
  </si>
  <si>
    <t xml:space="preserve">Den samlede produktionsværdi på landsplan er niveaujusteret i forholde til de Tilrettede Driftudgifter, således at taksterne (på 2013 aktivitetsdata) svarer til de samlede driftsudgifter for 2013. 
Baseline for 2015 falder med samme andel som produktionsværdien, hvilket formindsker effektet betydeligt ift den statslige aktivitetspulje.  </t>
  </si>
  <si>
    <t>PG12_(2015) grupperne kræver tillægskodning for medicingivning, ellers falder aktiviteten i andre DAGS_(2015) grupper. 
SSI undersøger Diagnostisk Regiologi yderligere</t>
  </si>
  <si>
    <t>Det er den beskrevne metode SSI anvender.</t>
  </si>
  <si>
    <t xml:space="preserve">SSI vil gerne analysere problemstillingen i samarbejde med RH inden omkørslen af omkostningsdatabasen i efteråret. </t>
  </si>
  <si>
    <t>Regionerne er enige i at taksten ikke skal være for høj.
Taksten fastholdes.</t>
  </si>
  <si>
    <t>OK
Aarhus har selv foreslået at anvende  2013 dobbelt.</t>
  </si>
  <si>
    <t>Taksten fastsættes til 2013/2014-niveau</t>
  </si>
  <si>
    <t>Taksten beregnes</t>
  </si>
  <si>
    <t>Teksten på gruppen ændres</t>
  </si>
  <si>
    <t>Afventer Selskabet.
Indstillingen er at følge AUH's forslag</t>
  </si>
  <si>
    <t>Regionerne er enige med Region Hovedstaden.
SSI undersøger hvorfor PG12N (2015) Antistof, behandling ikke blev flyttet til PG11.</t>
  </si>
  <si>
    <t>SSI ser på de oprindelige omkostningsberegninger.
Det skal undersøges om utensilier på 4.000 kr. er korrekt.
Region Syddanmaark sender gammelt forslag vedr. oplæring af patient med peritonaldialysekateter.
Der blev stillet sprøgsmålstegn ved om sengedagomkostninger skal medgå i ambulant takst.</t>
  </si>
  <si>
    <t>SSI indstiller til at PG15A, PG15B og PG15C sættes til takst 2013.</t>
  </si>
  <si>
    <t>Taksterne beregnes.
Aktiviteten og omkostningerne undersøges i løbet af efteråret 2014.</t>
  </si>
  <si>
    <t>Taksten sættes.</t>
  </si>
  <si>
    <t>SSI taler med Aarhus. 
Indstillingen er at sætte taksten.</t>
  </si>
  <si>
    <t>Sættes til 2014-niveau.</t>
  </si>
  <si>
    <t>SSI tjekker tal fra Rigshospitalet.
Indstilling er at sætte taksten.</t>
  </si>
  <si>
    <t>Sættes som udgangspunkt til 2013-niveau</t>
  </si>
  <si>
    <t>Taksten beregnes.</t>
  </si>
  <si>
    <t>Taksten beregnes uden Aarhus.</t>
  </si>
  <si>
    <t>SSI undersøger hvornår taksten sidst er blevet beregnet. SSI taler med Region Midt og Region Hovedstaden.</t>
  </si>
  <si>
    <t>Taksten sættes til 2013-niveau.
SSI vil i efteråret tale med Selskabet omkring indbyrdes forhold mellem grupper og om der er for mange grupper.</t>
  </si>
  <si>
    <t>SSI kontakter Aarhus og gennmgår beregninger fra Herlev.</t>
  </si>
  <si>
    <t xml:space="preserve">Region Syddanmark oplyste at de 10.000 indgår i de 55.000.
SSI kontakter Ålborg. 
Taksten sættes til et niveau højere end beregnet men lavere end sidste år. </t>
  </si>
  <si>
    <t>Hvis det kun er Filadelfia der grupperer til gruppen, så sættes taksten til 2014-niveau.</t>
  </si>
  <si>
    <t>Taksterne genberegnes. Århus medtages og observationer med lave implantatomkostninger fjernes.
Hvis taksterne fortsat afviger meget så sættes taksterne til 2013-niveau.
Regioner efterspurgte liste over fokuspunkter til fordelingsregnskabet.
Region Hovedstaden oplyste at Glostrup havde været meget snævre i deres afgrænsning af procedurekoder, men ellers havde lavet gode oversigter.</t>
  </si>
  <si>
    <t xml:space="preserve">SSI undersøger 2013-niveau og er det på samme niveau som den satte takst, så beregnes taksten.
</t>
  </si>
  <si>
    <t>SSI undersøger hvad der står i specialeplanen. Taksten sættes.</t>
  </si>
  <si>
    <t>Taksten fastholdes.</t>
  </si>
  <si>
    <t>Taksten fastholdes (beregnes).</t>
  </si>
  <si>
    <t>Taksten sætts til takstbuddet fra AUH: 20.000 kr.</t>
  </si>
  <si>
    <t>1111</t>
  </si>
  <si>
    <t>Operationer på nyre, nyrebækken og urinleder, godartet sygdom</t>
  </si>
  <si>
    <t>Markup-2014</t>
  </si>
  <si>
    <t>SSI sætter DRG-taksten til den nye beregnede robot-takst  (DRG2014 fratrukket markup tillagt robotudgift og fratrukket fald i sengedage) for følgende DRG-grupper i 2015-logik:  
1107
1109
1302
1304
1308
1310
1313</t>
  </si>
  <si>
    <t>Taksten er beregnet og falder grundet det ændrede data grundlag.</t>
  </si>
  <si>
    <t>Taksten er sat til 2014 niveau fratrukket markup</t>
  </si>
  <si>
    <t xml:space="preserve">Taksten er sat til 2014 niveau fratrukket markup. SSI har valgt at sætte taksten, da grundlaget blev for småt, hvis markant afvigende gns. Omkostninger skulle udeholdes. </t>
  </si>
  <si>
    <t xml:space="preserve">Taksten er sat til 2014 niveau fratrukket markup. SSI har valgt at sætte taksten, da implantatomkostningerne var meget uhomogene. </t>
  </si>
  <si>
    <t>Taksten er sat på baggrund af beregninger fra Herlev Hospital og Jordmoderforeningen. Taksten er sat til 1.287 kr.</t>
  </si>
  <si>
    <t>Kommentaren for PG08G ændres.</t>
  </si>
  <si>
    <t>Taksten er sat på baggrund af beregninger fra Herlev Hospital og Jordmoderforeningen, som SSI har genbergenet. Taksten er sat til 402 kr.</t>
  </si>
  <si>
    <t xml:space="preserve">Taksten er sat til 2014 niveau fratrukket markup. SSI har valgt at sætte taksten, da takstbuddene fra Herlev hospitl og jordmoderforeningen afveg en del fra hinanden og SSI vurderede derfor at det var bedst at sætte taksten til takst 2014.  </t>
  </si>
  <si>
    <t xml:space="preserve">Taksterne for tandbehandling er sat til de beregnede tal, som SSI indstillede til DRG udvalget.  </t>
  </si>
  <si>
    <t>PG10M beregnes og PG10L sættes til 7.000 kr. på baggrund af takstbud fra AUH.</t>
  </si>
  <si>
    <t xml:space="preserve">SSI har ikke nået se på materiale fra 2008 vedrørende PG13M. SSI har fulgt Nefrologisk Selskabs takstbud minus 1 sengedag: 7.500 kr. </t>
  </si>
  <si>
    <t>PG15A og PG15B er beregnet. PG15C har SSI været nødsaget til at sætte i forhold til niveauet for PG15B. Den beregnede takst for PG15C var lavere end PG15B, det var derved nødvendigt at sætte taksten for PG15C, så niveauet i gruppen kunne bibeholdes.</t>
  </si>
  <si>
    <t>Taksterne er sat til 2014 niveau fratrukket markup</t>
  </si>
  <si>
    <t>Taksten er sat til DRG2013 og PL-reguleret til 2014-niveau.</t>
  </si>
  <si>
    <t>Taksten er genberegnet.</t>
  </si>
  <si>
    <t>Ændringsforslaget er taget til efterretning og vil blive taget i betragtning ved næste opdatering af grupperingslogikken.</t>
  </si>
  <si>
    <t>Taksten er beregnet.</t>
  </si>
  <si>
    <t xml:space="preserve">Taksten er sat til kr. 55.000 (2013-niveau) og PL-reguleret til 2014-niveau. </t>
  </si>
  <si>
    <t xml:space="preserve">Taksten er fortsat beregnet. </t>
  </si>
  <si>
    <t>Taksten er sat til kr. 24.190 (2013-niveau) og PL-reguleret til 2014-niveau.</t>
  </si>
  <si>
    <t>Taksten er sat til kr. 174.000 for DRG 0907 og kr. 87.000 for DRG 0908 (2013-niveau) og PL-reguleret til 2014-niveau.</t>
  </si>
  <si>
    <t>Taksten er sat til kr. 90.000 (2013-niveau) og PL-reguleret til 2014-niveau.</t>
  </si>
  <si>
    <t>Taksten er sat til kr. 49.256 (2013-niveau) og PL-reguleret til 2014-niveau.</t>
  </si>
  <si>
    <t>Taksten er sat til kr. 493.000 (2013-niveau) og PL-reguleret til 2014-niveau.</t>
  </si>
  <si>
    <t>Rigshospitalets 2012-data er taget ud af takstgrundlaget, i stedet indgår 2013-data med dobbel vægt. Taksterne er beregnet igen.</t>
  </si>
  <si>
    <t>Taksten er sat til kr. 400.000 (2013-niveau) og PL-reguleret til 2014-niveau.</t>
  </si>
  <si>
    <t xml:space="preserve">DRG 0812 er sat til kr. 78.000 (2013-niveau), DRG2113 er justeret op herefter, og taksterne er PL-reguleret til 2014-niveau. </t>
  </si>
  <si>
    <t>Taksten er sat til kr. 148.377 (2013-niveau) og PL-reguleret til 2014-niveau.</t>
  </si>
  <si>
    <t>DRG 2719 og DRG 2722 sættes til 2014-niveau fratrukket markup</t>
  </si>
  <si>
    <t>Filadelfia indgår ikke længere i takstberegningsgrundlaget.</t>
  </si>
  <si>
    <t>Taksten er sat til kr. 94.356 (2013-niveau) og PL-reguleret til 2014-niveau.</t>
  </si>
  <si>
    <t>Taksten er sat til 2014-niveau fratrukket markup</t>
  </si>
  <si>
    <t>MDC 05 blev grundet store takstfald i de beregnede takster, som blev sendt i høring, og de mange og omfattende høringssvar givet særlig opmærksomhed efter høringsperiodens afslutning. De indkomne høringssvar samt det i Undergruppen for Takstberegning udarbejdede materiale til omkostningsniveauet på implantater indgik i vurderingen af takstniveauet for de endelige takster.</t>
  </si>
  <si>
    <t>MDC05 - se status til høringssvar 38.</t>
  </si>
  <si>
    <t>DRG taksterne er beregnet på baggrund af sygehusene indberettede fordelingsregnskaber, koblet med aktivitetsdata fra LandspatientRegistret, udtræk fra regionernes EPJ, operations- og anæstesivægte og andre ydelsesregistre.  
Der ligger ikke antagelse om ændringer i casemix til grund for takstberegningen i disse grupper.</t>
  </si>
  <si>
    <t>Det indstilles til DRG-udvalget, at Arbejds- og Miljømedicin bliver et fokusområde i takstfølgegruppens arbejde i efteråret 2014</t>
  </si>
  <si>
    <t>I efteråret 2014 kører SSI omkostningsdatabasen for 2013 om og i den forbindelse vil Rigshospitalets operationsomkostninger blive fordelt korrekt (der vil blive anvendt orbit til vægtning). SSI er i gang med at se på at opdatere operationsvægtsystemet.</t>
  </si>
  <si>
    <t xml:space="preserve">Rigshospitalets omkostningsdatabase for 2012 er taget ud af taksberegningen 2015, og i stedet tæller omkostningsdatabasen for år 2013 dobbelt. </t>
  </si>
  <si>
    <t>Det fremgår af Visual DRG.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</si>
</sst>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 #,##0_ ;_ * \-#,##0_ ;_ * &quot;-&quot;??_ ;_ @_ "/>
    <numFmt numFmtId="165" formatCode="_(* #,##0.00_);_(* \(#,##0.00\);_(* &quot;-&quot;??_);_(@_)"/>
    <numFmt numFmtId="166" formatCode="#,##0_ ;[Red]\-#,##0\ "/>
    <numFmt numFmtId="167" formatCode="#,##0.0"/>
    <numFmt numFmtId="168" formatCode="_ * #,##0.0_ ;_ * \-#,##0.0_ ;_ * &quot;-&quot;??_ ;_ @_ "/>
    <numFmt numFmtId="169" formatCode="_ * #,##0.0_ ;_ * \-#,##0.0_ ;_ * &quot;-&quot;?_ ;_ @_ "/>
  </numFmts>
  <fonts count="68" x14ac:knownFonts="1">
    <font>
      <sz val="11"/>
      <color theme="1"/>
      <name val="Calibri"/>
      <family val="2"/>
      <scheme val="minor"/>
    </font>
    <font>
      <sz val="11"/>
      <color theme="1"/>
      <name val="Times New Roman"/>
      <family val="1"/>
    </font>
    <font>
      <sz val="11"/>
      <color theme="1"/>
      <name val="Calibri"/>
      <family val="2"/>
      <scheme val="minor"/>
    </font>
    <font>
      <b/>
      <sz val="11"/>
      <color theme="1"/>
      <name val="Calibri"/>
      <family val="2"/>
      <scheme val="minor"/>
    </font>
    <font>
      <b/>
      <sz val="11"/>
      <name val="Times New Roman"/>
      <family val="1"/>
    </font>
    <font>
      <u/>
      <sz val="11"/>
      <color theme="10"/>
      <name val="Calibri"/>
      <family val="2"/>
      <scheme val="minor"/>
    </font>
    <font>
      <vertAlign val="subscript"/>
      <sz val="11"/>
      <color theme="1"/>
      <name val="Calibri"/>
      <family val="2"/>
      <scheme val="minor"/>
    </font>
    <font>
      <b/>
      <sz val="11"/>
      <color theme="1"/>
      <name val="Times New Roman"/>
      <family val="1"/>
    </font>
    <font>
      <sz val="14"/>
      <color theme="1"/>
      <name val="Calibri"/>
      <family val="2"/>
      <scheme val="minor"/>
    </font>
    <font>
      <b/>
      <u/>
      <sz val="14"/>
      <color theme="1"/>
      <name val="Calibri"/>
      <family val="2"/>
      <scheme val="minor"/>
    </font>
    <font>
      <sz val="10"/>
      <name val="Arial"/>
      <family val="2"/>
    </font>
    <font>
      <sz val="10"/>
      <name val="MS Sans Serif"/>
      <family val="2"/>
    </font>
    <font>
      <sz val="11"/>
      <name val="Times New Roman"/>
      <family val="1"/>
    </font>
    <font>
      <sz val="11"/>
      <color indexed="8"/>
      <name val="Calibri"/>
      <family val="2"/>
    </font>
    <font>
      <b/>
      <sz val="14"/>
      <color indexed="8"/>
      <name val="Calibri"/>
      <family val="2"/>
    </font>
    <font>
      <b/>
      <sz val="10"/>
      <name val="Arial"/>
      <family val="2"/>
    </font>
    <font>
      <b/>
      <sz val="12"/>
      <name val="Arial"/>
      <family val="2"/>
    </font>
    <font>
      <b/>
      <sz val="11"/>
      <color indexed="8"/>
      <name val="Calibri"/>
      <family val="2"/>
    </font>
    <font>
      <sz val="11"/>
      <color rgb="FF000000"/>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i/>
      <sz val="10"/>
      <name val="System"/>
      <family val="2"/>
    </font>
    <font>
      <sz val="11"/>
      <color indexed="52"/>
      <name val="Calibri"/>
      <family val="2"/>
    </font>
    <font>
      <sz val="11"/>
      <color indexed="60"/>
      <name val="Calibri"/>
      <family val="2"/>
    </font>
    <font>
      <sz val="10"/>
      <name val="System"/>
      <family val="2"/>
    </font>
    <font>
      <sz val="10"/>
      <color indexed="8"/>
      <name val="Arial"/>
      <family val="2"/>
    </font>
    <font>
      <b/>
      <sz val="11"/>
      <color indexed="63"/>
      <name val="Calibri"/>
      <family val="2"/>
    </font>
    <font>
      <b/>
      <sz val="18"/>
      <color indexed="56"/>
      <name val="Cambria"/>
      <family val="2"/>
    </font>
    <font>
      <b/>
      <sz val="10"/>
      <color indexed="8"/>
      <name val="Arial"/>
      <family val="2"/>
    </font>
    <font>
      <b/>
      <sz val="12"/>
      <color indexed="8"/>
      <name val="Arial"/>
      <family val="2"/>
    </font>
    <font>
      <sz val="12"/>
      <color theme="1"/>
      <name val="Arial"/>
      <family val="2"/>
    </font>
    <font>
      <sz val="10"/>
      <color theme="1"/>
      <name val="Arial"/>
      <family val="2"/>
    </font>
    <font>
      <b/>
      <sz val="10"/>
      <color theme="1"/>
      <name val="Arial"/>
      <family val="2"/>
    </font>
    <font>
      <sz val="10"/>
      <color indexed="10"/>
      <name val="Arial"/>
      <family val="2"/>
    </font>
    <font>
      <sz val="10"/>
      <color indexed="17"/>
      <name val="Arial"/>
      <family val="2"/>
    </font>
    <font>
      <b/>
      <sz val="10"/>
      <color indexed="17"/>
      <name val="Arial"/>
      <family val="2"/>
    </font>
    <font>
      <b/>
      <sz val="11"/>
      <color indexed="8"/>
      <name val="Calibri"/>
      <family val="2"/>
      <scheme val="minor"/>
    </font>
    <font>
      <sz val="10"/>
      <color theme="1"/>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b/>
      <sz val="10"/>
      <color theme="1"/>
      <name val="Calibri"/>
      <family val="2"/>
      <scheme val="minor"/>
    </font>
    <font>
      <sz val="12"/>
      <color theme="1"/>
      <name val="Calibri"/>
      <family val="2"/>
      <scheme val="minor"/>
    </font>
    <font>
      <b/>
      <sz val="11"/>
      <color indexed="8"/>
      <name val="Times New Roman"/>
      <family val="1"/>
    </font>
    <font>
      <sz val="12"/>
      <color theme="1"/>
      <name val="Cambria"/>
      <family val="1"/>
    </font>
    <font>
      <b/>
      <sz val="12"/>
      <color theme="1"/>
      <name val="Cambria"/>
      <family val="1"/>
    </font>
    <font>
      <b/>
      <i/>
      <sz val="12"/>
      <color theme="1"/>
      <name val="Cambria"/>
      <family val="1"/>
    </font>
    <font>
      <i/>
      <sz val="12"/>
      <color theme="1"/>
      <name val="Cambria"/>
      <family val="1"/>
    </font>
    <font>
      <sz val="11"/>
      <color rgb="FF000000"/>
      <name val="Times New Roman"/>
      <family val="1"/>
    </font>
    <font>
      <b/>
      <sz val="11"/>
      <color rgb="FF000000"/>
      <name val="Times New Roman"/>
      <family val="1"/>
    </font>
    <font>
      <sz val="10"/>
      <color indexed="8"/>
      <name val="Calibri"/>
      <family val="2"/>
    </font>
    <font>
      <u/>
      <sz val="10"/>
      <color rgb="FF000000"/>
      <name val="Arial"/>
      <family val="2"/>
    </font>
    <font>
      <sz val="10"/>
      <color rgb="FF000000"/>
      <name val="Arial"/>
      <family val="2"/>
    </font>
    <font>
      <sz val="11"/>
      <color rgb="FF000000"/>
      <name val="Calibri"/>
      <family val="2"/>
      <scheme val="minor"/>
    </font>
    <font>
      <sz val="10"/>
      <color rgb="FF000000"/>
      <name val="Tahoma"/>
      <family val="2"/>
    </font>
    <font>
      <i/>
      <sz val="10"/>
      <color rgb="FF000000"/>
      <name val="Arial"/>
      <family val="2"/>
    </font>
    <font>
      <u/>
      <sz val="10"/>
      <color rgb="FF1F497D"/>
      <name val="Arial"/>
      <family val="2"/>
    </font>
    <font>
      <sz val="10"/>
      <color rgb="FF1F497D"/>
      <name val="Arial"/>
      <family val="2"/>
    </font>
    <font>
      <b/>
      <sz val="14"/>
      <color theme="1"/>
      <name val="Calibri"/>
      <family val="2"/>
      <scheme val="minor"/>
    </font>
  </fonts>
  <fills count="36">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CCFFFF"/>
        <bgColor indexed="64"/>
      </patternFill>
    </fill>
    <fill>
      <patternFill patternType="solid">
        <fgColor indexed="22"/>
        <bgColor indexed="0"/>
      </patternFill>
    </fill>
    <fill>
      <patternFill patternType="solid">
        <fgColor theme="0" tint="-4.9989318521683403E-2"/>
        <bgColor indexed="64"/>
      </patternFill>
    </fill>
    <fill>
      <patternFill patternType="solid">
        <fgColor theme="6" tint="0.79998168889431442"/>
        <bgColor indexed="64"/>
      </patternFill>
    </fill>
  </fills>
  <borders count="98">
    <border>
      <left/>
      <right/>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medium">
        <color indexed="23"/>
      </bottom>
      <diagonal/>
    </border>
    <border>
      <left style="medium">
        <color indexed="23"/>
      </left>
      <right style="medium">
        <color indexed="8"/>
      </right>
      <top style="medium">
        <color indexed="23"/>
      </top>
      <bottom style="medium">
        <color indexed="23"/>
      </bottom>
      <diagonal/>
    </border>
    <border>
      <left style="medium">
        <color indexed="8"/>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indexed="23"/>
      </bottom>
      <diagonal/>
    </border>
    <border>
      <left/>
      <right style="medium">
        <color indexed="8"/>
      </right>
      <top style="medium">
        <color indexed="23"/>
      </top>
      <bottom style="medium">
        <color indexed="23"/>
      </bottom>
      <diagonal/>
    </border>
    <border>
      <left style="medium">
        <color indexed="23"/>
      </left>
      <right style="medium">
        <color indexed="23"/>
      </right>
      <top style="medium">
        <color indexed="23"/>
      </top>
      <bottom style="medium">
        <color indexed="8"/>
      </bottom>
      <diagonal/>
    </border>
    <border>
      <left style="medium">
        <color indexed="23"/>
      </left>
      <right style="medium">
        <color indexed="8"/>
      </right>
      <top style="medium">
        <color indexed="23"/>
      </top>
      <bottom style="medium">
        <color indexed="8"/>
      </bottom>
      <diagonal/>
    </border>
    <border>
      <left/>
      <right style="medium">
        <color indexed="8"/>
      </right>
      <top/>
      <bottom style="medium">
        <color indexed="8"/>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8"/>
      </right>
      <top style="medium">
        <color indexed="64"/>
      </top>
      <bottom/>
      <diagonal/>
    </border>
    <border>
      <left style="medium">
        <color indexed="64"/>
      </left>
      <right/>
      <top/>
      <bottom/>
      <diagonal/>
    </border>
    <border>
      <left/>
      <right style="medium">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8"/>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style="dashed">
        <color rgb="FF00B0F0"/>
      </top>
      <bottom/>
      <diagonal/>
    </border>
    <border>
      <left/>
      <right/>
      <top style="dashed">
        <color rgb="FF00B0F0"/>
      </top>
      <bottom/>
      <diagonal/>
    </border>
    <border>
      <left/>
      <right style="medium">
        <color rgb="FF00B0F0"/>
      </right>
      <top style="dashed">
        <color rgb="FF00B0F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diagonal/>
    </border>
    <border>
      <left style="thin">
        <color indexed="64"/>
      </left>
      <right style="thin">
        <color indexed="64"/>
      </right>
      <top/>
      <bottom/>
      <diagonal/>
    </border>
    <border>
      <left style="medium">
        <color rgb="FF787878"/>
      </left>
      <right style="medium">
        <color rgb="FF787878"/>
      </right>
      <top style="medium">
        <color rgb="FF787878"/>
      </top>
      <bottom style="medium">
        <color rgb="FF787878"/>
      </bottom>
      <diagonal/>
    </border>
    <border>
      <left style="medium">
        <color rgb="FF787878"/>
      </left>
      <right style="medium">
        <color rgb="FF000000"/>
      </right>
      <top style="medium">
        <color rgb="FF787878"/>
      </top>
      <bottom style="medium">
        <color rgb="FF787878"/>
      </bottom>
      <diagonal/>
    </border>
    <border>
      <left style="medium">
        <color rgb="FF000000"/>
      </left>
      <right/>
      <top style="medium">
        <color rgb="FF787878"/>
      </top>
      <bottom style="medium">
        <color rgb="FF787878"/>
      </bottom>
      <diagonal/>
    </border>
    <border>
      <left/>
      <right/>
      <top style="medium">
        <color rgb="FF787878"/>
      </top>
      <bottom style="medium">
        <color rgb="FF787878"/>
      </bottom>
      <diagonal/>
    </border>
    <border>
      <left/>
      <right style="medium">
        <color rgb="FF787878"/>
      </right>
      <top style="medium">
        <color rgb="FF787878"/>
      </top>
      <bottom style="medium">
        <color rgb="FF787878"/>
      </bottom>
      <diagonal/>
    </border>
    <border>
      <left style="medium">
        <color rgb="FF787878"/>
      </left>
      <right/>
      <top style="medium">
        <color rgb="FF787878"/>
      </top>
      <bottom style="medium">
        <color rgb="FF787878"/>
      </bottom>
      <diagonal/>
    </border>
    <border>
      <left/>
      <right style="medium">
        <color rgb="FF000000"/>
      </right>
      <top style="medium">
        <color rgb="FF787878"/>
      </top>
      <bottom style="medium">
        <color rgb="FF787878"/>
      </bottom>
      <diagonal/>
    </border>
    <border>
      <left style="medium">
        <color rgb="FF787878"/>
      </left>
      <right style="medium">
        <color rgb="FF787878"/>
      </right>
      <top style="medium">
        <color rgb="FF787878"/>
      </top>
      <bottom style="medium">
        <color rgb="FF000000"/>
      </bottom>
      <diagonal/>
    </border>
    <border>
      <left style="medium">
        <color rgb="FF787878"/>
      </left>
      <right style="medium">
        <color rgb="FF000000"/>
      </right>
      <top style="medium">
        <color rgb="FF787878"/>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style="medium">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style="medium">
        <color rgb="FF787878"/>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07">
    <xf numFmtId="0" fontId="0" fillId="0" borderId="0"/>
    <xf numFmtId="43" fontId="2" fillId="0" borderId="0" applyFont="0" applyFill="0" applyBorder="0" applyAlignment="0" applyProtection="0"/>
    <xf numFmtId="0" fontId="5" fillId="0" borderId="0" applyNumberFormat="0" applyFill="0" applyBorder="0" applyAlignment="0" applyProtection="0"/>
    <xf numFmtId="0" fontId="11" fillId="0" borderId="0"/>
    <xf numFmtId="43" fontId="11" fillId="0" borderId="0" applyFont="0" applyFill="0" applyBorder="0" applyAlignment="0" applyProtection="0"/>
    <xf numFmtId="0" fontId="13"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0" fillId="0" borderId="0" applyNumberFormat="0" applyFill="0" applyBorder="0" applyAlignment="0" applyProtection="0"/>
    <xf numFmtId="0" fontId="21" fillId="6" borderId="0" applyNumberFormat="0" applyBorder="0" applyAlignment="0" applyProtection="0"/>
    <xf numFmtId="0" fontId="10" fillId="23" borderId="20" applyNumberFormat="0" applyFont="0" applyAlignment="0" applyProtection="0"/>
    <xf numFmtId="0" fontId="2" fillId="4" borderId="13" applyNumberFormat="0" applyFont="0" applyAlignment="0" applyProtection="0"/>
    <xf numFmtId="0" fontId="22" fillId="24" borderId="21" applyNumberFormat="0" applyAlignment="0" applyProtection="0"/>
    <xf numFmtId="0" fontId="22" fillId="24" borderId="21" applyNumberFormat="0" applyAlignment="0" applyProtection="0"/>
    <xf numFmtId="0" fontId="23" fillId="25" borderId="22"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0" fillId="0" borderId="0"/>
    <xf numFmtId="0" fontId="25" fillId="7" borderId="0" applyNumberFormat="0" applyBorder="0" applyAlignment="0" applyProtection="0"/>
    <xf numFmtId="0" fontId="25" fillId="7" borderId="0" applyNumberFormat="0" applyBorder="0" applyAlignment="0" applyProtection="0"/>
    <xf numFmtId="0" fontId="26" fillId="0" borderId="23" applyNumberFormat="0" applyFill="0" applyAlignment="0" applyProtection="0"/>
    <xf numFmtId="0" fontId="27" fillId="0" borderId="24" applyNumberFormat="0" applyFill="0" applyAlignment="0" applyProtection="0"/>
    <xf numFmtId="0" fontId="28" fillId="0" borderId="25" applyNumberFormat="0" applyFill="0" applyAlignment="0" applyProtection="0"/>
    <xf numFmtId="0" fontId="28" fillId="0" borderId="0" applyNumberFormat="0" applyFill="0" applyBorder="0" applyAlignment="0" applyProtection="0"/>
    <xf numFmtId="0" fontId="29" fillId="10" borderId="21" applyNumberFormat="0" applyAlignment="0" applyProtection="0"/>
    <xf numFmtId="43" fontId="2" fillId="0" borderId="0" applyFont="0" applyFill="0" applyBorder="0" applyAlignment="0" applyProtection="0"/>
    <xf numFmtId="165" fontId="30" fillId="0" borderId="0" applyFont="0" applyFill="0" applyBorder="0" applyAlignment="0" applyProtection="0"/>
    <xf numFmtId="0" fontId="23" fillId="25" borderId="22" applyNumberFormat="0" applyAlignment="0" applyProtection="0"/>
    <xf numFmtId="0" fontId="31" fillId="0" borderId="26" applyNumberFormat="0" applyFill="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32" fillId="26" borderId="0" applyNumberFormat="0" applyBorder="0" applyAlignment="0" applyProtection="0"/>
    <xf numFmtId="0" fontId="13" fillId="0" borderId="0"/>
    <xf numFmtId="0" fontId="11" fillId="0" borderId="0"/>
    <xf numFmtId="0" fontId="10" fillId="0" borderId="0"/>
    <xf numFmtId="0" fontId="33" fillId="0" borderId="0"/>
    <xf numFmtId="0" fontId="34" fillId="0" borderId="0"/>
    <xf numFmtId="0" fontId="34" fillId="0" borderId="0"/>
    <xf numFmtId="0" fontId="13" fillId="23" borderId="20" applyNumberFormat="0" applyFont="0" applyAlignment="0" applyProtection="0"/>
    <xf numFmtId="0" fontId="35" fillId="24" borderId="27" applyNumberFormat="0" applyAlignment="0" applyProtection="0"/>
    <xf numFmtId="0" fontId="26" fillId="0" borderId="23" applyNumberFormat="0" applyFill="0" applyAlignment="0" applyProtection="0"/>
    <xf numFmtId="0" fontId="27" fillId="0" borderId="24" applyNumberFormat="0" applyFill="0" applyAlignment="0" applyProtection="0"/>
    <xf numFmtId="0" fontId="28" fillId="0" borderId="25" applyNumberFormat="0" applyFill="0" applyAlignment="0" applyProtection="0"/>
    <xf numFmtId="0" fontId="28" fillId="0" borderId="0" applyNumberForma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31" fillId="0" borderId="26"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7" fillId="0" borderId="28" applyNumberFormat="0" applyFill="0" applyAlignment="0" applyProtection="0"/>
    <xf numFmtId="0" fontId="21" fillId="6" borderId="0" applyNumberFormat="0" applyBorder="0" applyAlignment="0" applyProtection="0"/>
    <xf numFmtId="0" fontId="20" fillId="0" borderId="0" applyNumberFormat="0" applyFill="0" applyBorder="0" applyAlignment="0" applyProtection="0"/>
  </cellStyleXfs>
  <cellXfs count="495">
    <xf numFmtId="0" fontId="0" fillId="0" borderId="0" xfId="0"/>
    <xf numFmtId="0" fontId="1" fillId="0" borderId="0" xfId="0" applyFont="1"/>
    <xf numFmtId="0" fontId="4" fillId="2" borderId="1" xfId="0" applyFont="1" applyFill="1" applyBorder="1" applyAlignment="1">
      <alignment vertical="center" wrapText="1"/>
    </xf>
    <xf numFmtId="0" fontId="1" fillId="0" borderId="2" xfId="0" applyFont="1" applyBorder="1" applyAlignment="1">
      <alignment wrapText="1"/>
    </xf>
    <xf numFmtId="0" fontId="1" fillId="0" borderId="2" xfId="0" applyFont="1" applyBorder="1"/>
    <xf numFmtId="49" fontId="1" fillId="0" borderId="2" xfId="0" applyNumberFormat="1" applyFont="1" applyBorder="1" applyAlignment="1">
      <alignment vertical="top" wrapText="1"/>
    </xf>
    <xf numFmtId="3" fontId="1" fillId="0" borderId="2" xfId="0" applyNumberFormat="1" applyFont="1" applyBorder="1" applyAlignment="1">
      <alignment vertical="top" wrapText="1"/>
    </xf>
    <xf numFmtId="0" fontId="8" fillId="0" borderId="0" xfId="0" applyFont="1"/>
    <xf numFmtId="9" fontId="0" fillId="0" borderId="0" xfId="0" applyNumberFormat="1"/>
    <xf numFmtId="3" fontId="0" fillId="0" borderId="0" xfId="0" applyNumberFormat="1"/>
    <xf numFmtId="0" fontId="3" fillId="0" borderId="0" xfId="0" applyFont="1"/>
    <xf numFmtId="3" fontId="3" fillId="0" borderId="0" xfId="0" applyNumberFormat="1" applyFont="1"/>
    <xf numFmtId="0" fontId="5" fillId="0" borderId="2" xfId="2" applyBorder="1" applyAlignment="1">
      <alignment wrapText="1"/>
    </xf>
    <xf numFmtId="164" fontId="1" fillId="0" borderId="2" xfId="1" applyNumberFormat="1" applyFont="1" applyBorder="1" applyAlignment="1">
      <alignment wrapText="1"/>
    </xf>
    <xf numFmtId="0" fontId="12" fillId="0" borderId="2" xfId="3" applyFont="1" applyBorder="1" applyAlignment="1">
      <alignment vertical="top"/>
    </xf>
    <xf numFmtId="49" fontId="12" fillId="0" borderId="2" xfId="3" applyNumberFormat="1" applyFont="1" applyBorder="1" applyAlignment="1">
      <alignment vertical="top"/>
    </xf>
    <xf numFmtId="0" fontId="12" fillId="0" borderId="2" xfId="3" applyFont="1" applyBorder="1" applyAlignment="1">
      <alignment vertical="top" wrapText="1"/>
    </xf>
    <xf numFmtId="164" fontId="12" fillId="0" borderId="2" xfId="4" applyNumberFormat="1" applyFont="1" applyBorder="1" applyAlignment="1">
      <alignment vertical="top"/>
    </xf>
    <xf numFmtId="0" fontId="14" fillId="0" borderId="0" xfId="5" applyFont="1"/>
    <xf numFmtId="0" fontId="13" fillId="0" borderId="0" xfId="5"/>
    <xf numFmtId="0" fontId="15" fillId="0" borderId="0" xfId="5" applyFont="1"/>
    <xf numFmtId="49" fontId="15" fillId="0" borderId="0" xfId="5" applyNumberFormat="1" applyFont="1"/>
    <xf numFmtId="3" fontId="15" fillId="0" borderId="0" xfId="5" applyNumberFormat="1" applyFont="1"/>
    <xf numFmtId="0" fontId="15" fillId="3" borderId="2" xfId="5" applyFont="1" applyFill="1" applyBorder="1" applyAlignment="1">
      <alignment vertical="top"/>
    </xf>
    <xf numFmtId="0" fontId="15" fillId="3" borderId="2" xfId="5" applyFont="1" applyFill="1" applyBorder="1" applyAlignment="1">
      <alignment vertical="top" wrapText="1"/>
    </xf>
    <xf numFmtId="0" fontId="13" fillId="3" borderId="2" xfId="5" applyFill="1" applyBorder="1" applyAlignment="1">
      <alignment vertical="top"/>
    </xf>
    <xf numFmtId="0" fontId="13" fillId="0" borderId="2" xfId="5" applyBorder="1"/>
    <xf numFmtId="0" fontId="13" fillId="0" borderId="2" xfId="5" applyBorder="1" applyAlignment="1">
      <alignment horizontal="center"/>
    </xf>
    <xf numFmtId="2" fontId="13" fillId="0" borderId="2" xfId="5" applyNumberFormat="1" applyBorder="1"/>
    <xf numFmtId="0" fontId="13" fillId="0" borderId="2" xfId="5" applyFill="1" applyBorder="1" applyAlignment="1">
      <alignment horizontal="center"/>
    </xf>
    <xf numFmtId="2" fontId="13" fillId="0" borderId="2" xfId="5" applyNumberFormat="1" applyFill="1" applyBorder="1"/>
    <xf numFmtId="0" fontId="15" fillId="0" borderId="2" xfId="5" applyFont="1" applyBorder="1"/>
    <xf numFmtId="0" fontId="15" fillId="3" borderId="2" xfId="5" applyFont="1" applyFill="1" applyBorder="1"/>
    <xf numFmtId="4" fontId="15" fillId="3" borderId="2" xfId="5" applyNumberFormat="1" applyFont="1" applyFill="1" applyBorder="1"/>
    <xf numFmtId="2" fontId="13" fillId="0" borderId="0" xfId="5" applyNumberFormat="1"/>
    <xf numFmtId="2" fontId="15" fillId="0" borderId="0" xfId="5" applyNumberFormat="1" applyFont="1"/>
    <xf numFmtId="0" fontId="16" fillId="0" borderId="0" xfId="6" applyFont="1"/>
    <xf numFmtId="0" fontId="10" fillId="0" borderId="0" xfId="6"/>
    <xf numFmtId="0" fontId="15" fillId="0" borderId="3" xfId="6" applyFont="1" applyBorder="1" applyAlignment="1">
      <alignment horizontal="center" vertical="center" wrapText="1"/>
    </xf>
    <xf numFmtId="0" fontId="15" fillId="0" borderId="4" xfId="6" applyFont="1" applyBorder="1" applyAlignment="1">
      <alignment horizontal="center" vertical="center" wrapText="1"/>
    </xf>
    <xf numFmtId="0" fontId="15" fillId="0" borderId="10" xfId="6" applyFont="1" applyBorder="1" applyAlignment="1">
      <alignment horizontal="center" vertical="center" wrapText="1"/>
    </xf>
    <xf numFmtId="0" fontId="15" fillId="0" borderId="11" xfId="6" applyFont="1" applyBorder="1" applyAlignment="1">
      <alignment horizontal="center" vertical="center" wrapText="1"/>
    </xf>
    <xf numFmtId="49" fontId="10" fillId="0" borderId="3" xfId="6" applyNumberFormat="1" applyBorder="1" applyAlignment="1">
      <alignment wrapText="1"/>
    </xf>
    <xf numFmtId="0" fontId="10" fillId="0" borderId="4" xfId="6" applyBorder="1" applyAlignment="1">
      <alignment wrapText="1"/>
    </xf>
    <xf numFmtId="0" fontId="10" fillId="0" borderId="12" xfId="6" applyBorder="1" applyAlignment="1">
      <alignment wrapText="1"/>
    </xf>
    <xf numFmtId="3" fontId="10" fillId="0" borderId="12" xfId="6" applyNumberFormat="1" applyBorder="1" applyAlignment="1">
      <alignment wrapText="1"/>
    </xf>
    <xf numFmtId="0" fontId="10" fillId="0" borderId="11" xfId="6" applyBorder="1" applyAlignment="1">
      <alignment wrapText="1"/>
    </xf>
    <xf numFmtId="3" fontId="10" fillId="0" borderId="11" xfId="6" applyNumberFormat="1" applyBorder="1" applyAlignment="1">
      <alignment wrapText="1"/>
    </xf>
    <xf numFmtId="49" fontId="10" fillId="0" borderId="10" xfId="6" applyNumberFormat="1" applyBorder="1" applyAlignment="1">
      <alignment wrapText="1"/>
    </xf>
    <xf numFmtId="164" fontId="1" fillId="0" borderId="2" xfId="1" quotePrefix="1" applyNumberFormat="1" applyFont="1" applyBorder="1" applyAlignment="1">
      <alignment wrapText="1"/>
    </xf>
    <xf numFmtId="0" fontId="1" fillId="0" borderId="2" xfId="0" quotePrefix="1" applyFont="1" applyBorder="1" applyAlignment="1">
      <alignment wrapText="1"/>
    </xf>
    <xf numFmtId="164" fontId="12" fillId="0" borderId="2" xfId="4" applyNumberFormat="1" applyFont="1" applyBorder="1"/>
    <xf numFmtId="164" fontId="12" fillId="0" borderId="2" xfId="4" applyNumberFormat="1" applyFont="1" applyBorder="1" applyAlignment="1">
      <alignment wrapText="1"/>
    </xf>
    <xf numFmtId="0" fontId="0" fillId="0" borderId="0" xfId="0" applyAlignment="1">
      <alignment vertical="center"/>
    </xf>
    <xf numFmtId="0" fontId="18" fillId="0" borderId="14" xfId="0" applyFont="1" applyBorder="1" applyAlignment="1">
      <alignment vertical="center"/>
    </xf>
    <xf numFmtId="0" fontId="18" fillId="0" borderId="15" xfId="0" applyFont="1" applyBorder="1" applyAlignment="1">
      <alignment vertical="center"/>
    </xf>
    <xf numFmtId="0" fontId="18" fillId="0" borderId="16" xfId="0" applyFont="1" applyBorder="1" applyAlignment="1">
      <alignment vertical="center"/>
    </xf>
    <xf numFmtId="0" fontId="18" fillId="0" borderId="17" xfId="0" applyFont="1" applyBorder="1" applyAlignment="1">
      <alignment horizontal="right" vertical="center"/>
    </xf>
    <xf numFmtId="3" fontId="18" fillId="0" borderId="17" xfId="0" applyNumberFormat="1" applyFont="1" applyBorder="1" applyAlignment="1">
      <alignment vertical="center"/>
    </xf>
    <xf numFmtId="3" fontId="18" fillId="0" borderId="18" xfId="0" applyNumberFormat="1" applyFont="1" applyBorder="1" applyAlignment="1">
      <alignment vertical="center"/>
    </xf>
    <xf numFmtId="3" fontId="0" fillId="0" borderId="19" xfId="0" applyNumberFormat="1" applyBorder="1"/>
    <xf numFmtId="0" fontId="37" fillId="0" borderId="0" xfId="0" applyFont="1"/>
    <xf numFmtId="0" fontId="34" fillId="0" borderId="16" xfId="0" applyFont="1" applyBorder="1"/>
    <xf numFmtId="1" fontId="34" fillId="0" borderId="17" xfId="0" applyNumberFormat="1" applyFont="1" applyBorder="1" applyAlignment="1">
      <alignment horizontal="center"/>
    </xf>
    <xf numFmtId="0" fontId="34" fillId="0" borderId="17" xfId="0" applyFont="1" applyBorder="1" applyAlignment="1">
      <alignment horizontal="center"/>
    </xf>
    <xf numFmtId="3" fontId="34" fillId="0" borderId="17" xfId="0" applyNumberFormat="1" applyFont="1" applyBorder="1" applyAlignment="1">
      <alignment horizontal="center"/>
    </xf>
    <xf numFmtId="0" fontId="34" fillId="0" borderId="16" xfId="0" applyFont="1" applyBorder="1" applyAlignment="1">
      <alignment wrapText="1"/>
    </xf>
    <xf numFmtId="0" fontId="34" fillId="0" borderId="16" xfId="0" applyFont="1" applyBorder="1" applyAlignment="1">
      <alignment horizontal="center"/>
    </xf>
    <xf numFmtId="0" fontId="37" fillId="0" borderId="17" xfId="0" applyFont="1" applyBorder="1" applyAlignment="1">
      <alignment horizontal="center"/>
    </xf>
    <xf numFmtId="0" fontId="34" fillId="0" borderId="17" xfId="0" applyFont="1" applyBorder="1"/>
    <xf numFmtId="3" fontId="34" fillId="0" borderId="17" xfId="0" applyNumberFormat="1" applyFont="1" applyBorder="1" applyAlignment="1">
      <alignment horizontal="right"/>
    </xf>
    <xf numFmtId="0" fontId="34" fillId="0" borderId="17" xfId="0" applyFont="1" applyBorder="1" applyAlignment="1">
      <alignment horizontal="right"/>
    </xf>
    <xf numFmtId="0" fontId="37" fillId="0" borderId="16" xfId="0" applyFont="1" applyBorder="1"/>
    <xf numFmtId="3" fontId="37" fillId="0" borderId="17" xfId="0" applyNumberFormat="1" applyFont="1" applyBorder="1" applyAlignment="1">
      <alignment horizontal="right"/>
    </xf>
    <xf numFmtId="0" fontId="37" fillId="0" borderId="37" xfId="0" applyFont="1" applyBorder="1"/>
    <xf numFmtId="0" fontId="34" fillId="0" borderId="38" xfId="0" applyFont="1" applyBorder="1"/>
    <xf numFmtId="3" fontId="37" fillId="0" borderId="38" xfId="0" applyNumberFormat="1" applyFont="1" applyBorder="1" applyAlignment="1">
      <alignment horizontal="right"/>
    </xf>
    <xf numFmtId="0" fontId="0" fillId="0" borderId="0" xfId="0" applyAlignment="1">
      <alignment wrapText="1"/>
    </xf>
    <xf numFmtId="0" fontId="34" fillId="0" borderId="2" xfId="89" applyFont="1" applyBorder="1" applyAlignment="1">
      <alignment horizontal="right"/>
    </xf>
    <xf numFmtId="3" fontId="34" fillId="0" borderId="2" xfId="89" applyNumberFormat="1" applyFont="1" applyBorder="1" applyAlignment="1">
      <alignment horizontal="right"/>
    </xf>
    <xf numFmtId="0" fontId="34" fillId="0" borderId="2" xfId="89" applyFont="1" applyFill="1" applyBorder="1" applyAlignment="1">
      <alignment horizontal="right"/>
    </xf>
    <xf numFmtId="3" fontId="34" fillId="0" borderId="2" xfId="89" applyNumberFormat="1" applyFont="1" applyFill="1" applyBorder="1" applyAlignment="1">
      <alignment horizontal="right"/>
    </xf>
    <xf numFmtId="0" fontId="34" fillId="27" borderId="2" xfId="89" applyFont="1" applyFill="1" applyBorder="1" applyAlignment="1">
      <alignment horizontal="right"/>
    </xf>
    <xf numFmtId="1" fontId="0" fillId="0" borderId="0" xfId="0" applyNumberFormat="1"/>
    <xf numFmtId="0" fontId="39" fillId="0" borderId="2" xfId="0" applyFont="1" applyBorder="1"/>
    <xf numFmtId="0" fontId="40" fillId="0" borderId="2" xfId="0" applyFont="1" applyBorder="1"/>
    <xf numFmtId="1" fontId="39" fillId="0" borderId="2" xfId="0" applyNumberFormat="1" applyFont="1" applyBorder="1"/>
    <xf numFmtId="0" fontId="39" fillId="0" borderId="43" xfId="0" applyNumberFormat="1" applyFont="1" applyBorder="1"/>
    <xf numFmtId="0" fontId="40" fillId="0" borderId="2" xfId="0" applyNumberFormat="1" applyFont="1" applyBorder="1"/>
    <xf numFmtId="0" fontId="41" fillId="0" borderId="2" xfId="0" applyFont="1" applyBorder="1"/>
    <xf numFmtId="1" fontId="40" fillId="0" borderId="40" xfId="0" applyNumberFormat="1" applyFont="1" applyBorder="1"/>
    <xf numFmtId="0" fontId="41" fillId="0" borderId="14" xfId="0" applyNumberFormat="1" applyFont="1" applyBorder="1"/>
    <xf numFmtId="0" fontId="40" fillId="0" borderId="42" xfId="0" applyNumberFormat="1" applyFont="1" applyBorder="1"/>
    <xf numFmtId="1" fontId="40" fillId="0" borderId="2" xfId="0" applyNumberFormat="1" applyFont="1" applyBorder="1"/>
    <xf numFmtId="0" fontId="40" fillId="28" borderId="2" xfId="0" applyFont="1" applyFill="1" applyBorder="1"/>
    <xf numFmtId="0" fontId="40" fillId="29" borderId="2" xfId="0" applyFont="1" applyFill="1" applyBorder="1"/>
    <xf numFmtId="0" fontId="40" fillId="0" borderId="2" xfId="0" applyFont="1" applyFill="1" applyBorder="1"/>
    <xf numFmtId="0" fontId="0" fillId="0" borderId="2" xfId="0" applyBorder="1"/>
    <xf numFmtId="0" fontId="0" fillId="0" borderId="44" xfId="0" applyBorder="1"/>
    <xf numFmtId="0" fontId="40" fillId="0" borderId="43" xfId="0" applyFont="1" applyBorder="1"/>
    <xf numFmtId="0" fontId="0" fillId="0" borderId="43" xfId="0" applyBorder="1"/>
    <xf numFmtId="1" fontId="40" fillId="0" borderId="43" xfId="0" applyNumberFormat="1" applyFont="1" applyBorder="1"/>
    <xf numFmtId="0" fontId="40" fillId="0" borderId="43" xfId="0" applyNumberFormat="1" applyFont="1" applyBorder="1"/>
    <xf numFmtId="0" fontId="41" fillId="0" borderId="45" xfId="0" applyFont="1" applyBorder="1"/>
    <xf numFmtId="0" fontId="41" fillId="0" borderId="46" xfId="0" applyFont="1" applyBorder="1"/>
    <xf numFmtId="1" fontId="41" fillId="0" borderId="46" xfId="0" applyNumberFormat="1" applyFont="1" applyBorder="1"/>
    <xf numFmtId="0" fontId="41" fillId="0" borderId="46" xfId="0" applyNumberFormat="1" applyFont="1" applyBorder="1"/>
    <xf numFmtId="0" fontId="40" fillId="0" borderId="47" xfId="0" applyFont="1" applyBorder="1"/>
    <xf numFmtId="1" fontId="40" fillId="0" borderId="47" xfId="0" applyNumberFormat="1" applyFont="1" applyBorder="1"/>
    <xf numFmtId="0" fontId="40" fillId="0" borderId="47" xfId="0" applyNumberFormat="1" applyFont="1" applyBorder="1"/>
    <xf numFmtId="9" fontId="40" fillId="0" borderId="2" xfId="0" applyNumberFormat="1" applyFont="1" applyBorder="1"/>
    <xf numFmtId="0" fontId="34" fillId="0" borderId="2" xfId="0" applyFont="1" applyBorder="1" applyAlignment="1">
      <alignment horizontal="right"/>
    </xf>
    <xf numFmtId="0" fontId="34" fillId="0" borderId="40" xfId="0" applyFont="1" applyBorder="1" applyAlignment="1">
      <alignment horizontal="right"/>
    </xf>
    <xf numFmtId="3" fontId="34" fillId="0" borderId="2" xfId="0" applyNumberFormat="1" applyFont="1" applyBorder="1" applyAlignment="1">
      <alignment horizontal="right"/>
    </xf>
    <xf numFmtId="0" fontId="34" fillId="0" borderId="2" xfId="0" applyFont="1" applyFill="1" applyBorder="1" applyAlignment="1">
      <alignment horizontal="right"/>
    </xf>
    <xf numFmtId="3" fontId="34" fillId="0" borderId="2" xfId="0" applyNumberFormat="1" applyFont="1" applyFill="1" applyBorder="1" applyAlignment="1">
      <alignment horizontal="right"/>
    </xf>
    <xf numFmtId="0" fontId="34" fillId="27" borderId="2" xfId="0" applyFont="1" applyFill="1" applyBorder="1" applyAlignment="1">
      <alignment horizontal="right"/>
    </xf>
    <xf numFmtId="0" fontId="10" fillId="0" borderId="2" xfId="0" applyFont="1" applyBorder="1" applyAlignment="1">
      <alignment horizontal="center"/>
    </xf>
    <xf numFmtId="0" fontId="43" fillId="0" borderId="2" xfId="0" applyFont="1" applyBorder="1" applyAlignment="1">
      <alignment horizontal="center"/>
    </xf>
    <xf numFmtId="0" fontId="0" fillId="0" borderId="2" xfId="0" applyBorder="1" applyAlignment="1">
      <alignment horizontal="center"/>
    </xf>
    <xf numFmtId="3" fontId="0" fillId="0" borderId="2" xfId="0" applyNumberFormat="1" applyBorder="1"/>
    <xf numFmtId="3" fontId="43" fillId="0" borderId="2" xfId="0" applyNumberFormat="1" applyFont="1" applyBorder="1"/>
    <xf numFmtId="3" fontId="10" fillId="0" borderId="2" xfId="0" applyNumberFormat="1" applyFont="1" applyBorder="1"/>
    <xf numFmtId="0" fontId="0" fillId="3" borderId="2" xfId="0" applyFill="1" applyBorder="1"/>
    <xf numFmtId="3" fontId="43" fillId="0" borderId="2" xfId="0" applyNumberFormat="1" applyFont="1" applyFill="1" applyBorder="1"/>
    <xf numFmtId="3" fontId="0" fillId="3" borderId="2" xfId="0" applyNumberFormat="1" applyFill="1" applyBorder="1"/>
    <xf numFmtId="3" fontId="0" fillId="30" borderId="2" xfId="0" applyNumberFormat="1" applyFill="1" applyBorder="1"/>
    <xf numFmtId="3" fontId="0" fillId="0" borderId="2" xfId="0" applyNumberFormat="1" applyFill="1" applyBorder="1"/>
    <xf numFmtId="3" fontId="43" fillId="31" borderId="2" xfId="0" applyNumberFormat="1" applyFont="1" applyFill="1" applyBorder="1"/>
    <xf numFmtId="3" fontId="0" fillId="31" borderId="2" xfId="0" applyNumberFormat="1" applyFill="1" applyBorder="1"/>
    <xf numFmtId="0" fontId="15" fillId="0" borderId="2" xfId="0" applyFont="1" applyBorder="1"/>
    <xf numFmtId="3" fontId="44" fillId="0" borderId="2" xfId="0" applyNumberFormat="1" applyFont="1" applyBorder="1"/>
    <xf numFmtId="3" fontId="15" fillId="0" borderId="2" xfId="0" applyNumberFormat="1" applyFont="1" applyBorder="1"/>
    <xf numFmtId="0" fontId="45" fillId="0" borderId="0" xfId="0" applyFont="1"/>
    <xf numFmtId="0" fontId="46" fillId="0" borderId="0" xfId="0" applyFont="1"/>
    <xf numFmtId="0" fontId="47" fillId="32" borderId="50" xfId="0" applyFont="1" applyFill="1" applyBorder="1" applyAlignment="1">
      <alignment horizontal="center"/>
    </xf>
    <xf numFmtId="0" fontId="48" fillId="0" borderId="51" xfId="0" applyFont="1" applyBorder="1"/>
    <xf numFmtId="0" fontId="48" fillId="0" borderId="0" xfId="0" applyFont="1" applyBorder="1" applyAlignment="1">
      <alignment horizontal="center"/>
    </xf>
    <xf numFmtId="0" fontId="46" fillId="0" borderId="52" xfId="0" applyFont="1" applyBorder="1" applyAlignment="1">
      <alignment horizontal="center"/>
    </xf>
    <xf numFmtId="0" fontId="48" fillId="0" borderId="53" xfId="0" applyFont="1" applyBorder="1"/>
    <xf numFmtId="0" fontId="48" fillId="0" borderId="54" xfId="0" applyFont="1" applyBorder="1" applyAlignment="1">
      <alignment horizontal="center"/>
    </xf>
    <xf numFmtId="0" fontId="46" fillId="0" borderId="55" xfId="0" applyFont="1" applyBorder="1" applyAlignment="1">
      <alignment horizontal="center"/>
    </xf>
    <xf numFmtId="0" fontId="46" fillId="0" borderId="0" xfId="0" applyFont="1" applyAlignment="1">
      <alignment horizontal="center"/>
    </xf>
    <xf numFmtId="0" fontId="46" fillId="32" borderId="49" xfId="0" applyFont="1" applyFill="1" applyBorder="1" applyAlignment="1">
      <alignment horizontal="center"/>
    </xf>
    <xf numFmtId="0" fontId="46" fillId="32" borderId="50" xfId="0" applyFont="1" applyFill="1" applyBorder="1"/>
    <xf numFmtId="0" fontId="47" fillId="0" borderId="51" xfId="0" applyFont="1" applyFill="1" applyBorder="1" applyAlignment="1">
      <alignment horizontal="center" wrapText="1"/>
    </xf>
    <xf numFmtId="0" fontId="47" fillId="0" borderId="0" xfId="0" applyFont="1" applyFill="1" applyBorder="1" applyAlignment="1">
      <alignment horizontal="center" wrapText="1"/>
    </xf>
    <xf numFmtId="0" fontId="46" fillId="0" borderId="0" xfId="0" applyFont="1" applyFill="1" applyBorder="1" applyAlignment="1">
      <alignment horizontal="center"/>
    </xf>
    <xf numFmtId="0" fontId="46" fillId="0" borderId="52" xfId="0" applyFont="1" applyFill="1" applyBorder="1"/>
    <xf numFmtId="0" fontId="48" fillId="0" borderId="53" xfId="0" applyFont="1" applyFill="1" applyBorder="1"/>
    <xf numFmtId="3" fontId="48" fillId="0" borderId="54" xfId="0" applyNumberFormat="1" applyFont="1" applyFill="1" applyBorder="1" applyAlignment="1">
      <alignment horizontal="center"/>
    </xf>
    <xf numFmtId="0" fontId="46" fillId="0" borderId="54" xfId="0" applyFont="1" applyFill="1" applyBorder="1" applyAlignment="1">
      <alignment horizontal="center"/>
    </xf>
    <xf numFmtId="166" fontId="46" fillId="0" borderId="55" xfId="0" applyNumberFormat="1" applyFont="1" applyFill="1" applyBorder="1"/>
    <xf numFmtId="0" fontId="48" fillId="0" borderId="56" xfId="0" applyFont="1" applyFill="1" applyBorder="1" applyAlignment="1">
      <alignment horizontal="left"/>
    </xf>
    <xf numFmtId="0" fontId="47" fillId="0" borderId="57" xfId="0" applyFont="1" applyFill="1" applyBorder="1" applyAlignment="1">
      <alignment horizontal="center"/>
    </xf>
    <xf numFmtId="1" fontId="48" fillId="0" borderId="58" xfId="0" applyNumberFormat="1" applyFont="1" applyFill="1" applyBorder="1" applyAlignment="1">
      <alignment horizontal="center"/>
    </xf>
    <xf numFmtId="0" fontId="46" fillId="0" borderId="0" xfId="0" applyFont="1" applyFill="1"/>
    <xf numFmtId="166" fontId="48" fillId="0" borderId="52" xfId="0" applyNumberFormat="1" applyFont="1" applyBorder="1" applyAlignment="1">
      <alignment horizontal="center" wrapText="1"/>
    </xf>
    <xf numFmtId="0" fontId="46" fillId="0" borderId="53" xfId="0" applyFont="1" applyBorder="1"/>
    <xf numFmtId="0" fontId="46" fillId="0" borderId="54" xfId="0" applyFont="1" applyBorder="1"/>
    <xf numFmtId="166" fontId="48" fillId="0" borderId="55" xfId="0" applyNumberFormat="1" applyFont="1" applyBorder="1" applyAlignment="1">
      <alignment horizontal="center" wrapText="1"/>
    </xf>
    <xf numFmtId="0" fontId="46" fillId="0" borderId="57" xfId="0" applyFont="1" applyBorder="1"/>
    <xf numFmtId="0" fontId="48" fillId="0" borderId="57" xfId="0" applyFont="1" applyBorder="1" applyAlignment="1">
      <alignment horizontal="center" wrapText="1"/>
    </xf>
    <xf numFmtId="0" fontId="48" fillId="0" borderId="54" xfId="0" applyFont="1" applyBorder="1" applyAlignment="1">
      <alignment horizontal="center" wrapText="1"/>
    </xf>
    <xf numFmtId="0" fontId="48" fillId="32" borderId="48" xfId="0" applyFont="1" applyFill="1" applyBorder="1" applyAlignment="1">
      <alignment horizontal="center"/>
    </xf>
    <xf numFmtId="0" fontId="48" fillId="32" borderId="49" xfId="0" applyFont="1" applyFill="1" applyBorder="1" applyAlignment="1">
      <alignment horizontal="center"/>
    </xf>
    <xf numFmtId="0" fontId="48" fillId="0" borderId="56" xfId="0" applyFont="1" applyBorder="1"/>
    <xf numFmtId="0" fontId="48" fillId="0" borderId="0" xfId="0" applyFont="1" applyBorder="1"/>
    <xf numFmtId="3" fontId="48" fillId="0" borderId="52" xfId="0" applyNumberFormat="1" applyFont="1" applyFill="1" applyBorder="1" applyAlignment="1">
      <alignment horizontal="right"/>
    </xf>
    <xf numFmtId="0" fontId="49" fillId="0" borderId="51" xfId="0" applyFont="1" applyBorder="1" applyAlignment="1">
      <alignment horizontal="left" indent="1"/>
    </xf>
    <xf numFmtId="0" fontId="48" fillId="0" borderId="52" xfId="0" applyFont="1" applyFill="1" applyBorder="1" applyAlignment="1">
      <alignment horizontal="right"/>
    </xf>
    <xf numFmtId="166" fontId="48" fillId="0" borderId="52" xfId="0" applyNumberFormat="1" applyFont="1" applyFill="1" applyBorder="1" applyAlignment="1">
      <alignment horizontal="right"/>
    </xf>
    <xf numFmtId="0" fontId="49" fillId="0" borderId="59" xfId="0" applyFont="1" applyBorder="1"/>
    <xf numFmtId="0" fontId="49" fillId="0" borderId="60" xfId="0" applyFont="1" applyBorder="1"/>
    <xf numFmtId="3" fontId="49" fillId="0" borderId="61" xfId="0" applyNumberFormat="1" applyFont="1" applyBorder="1" applyAlignment="1">
      <alignment horizontal="right"/>
    </xf>
    <xf numFmtId="0" fontId="49" fillId="0" borderId="51" xfId="0" applyFont="1" applyBorder="1"/>
    <xf numFmtId="0" fontId="49" fillId="0" borderId="0" xfId="0" applyFont="1" applyBorder="1"/>
    <xf numFmtId="3" fontId="49" fillId="0" borderId="52" xfId="0" applyNumberFormat="1" applyFont="1" applyBorder="1" applyAlignment="1">
      <alignment horizontal="right"/>
    </xf>
    <xf numFmtId="0" fontId="47" fillId="0" borderId="48" xfId="0" applyFont="1" applyBorder="1"/>
    <xf numFmtId="0" fontId="48" fillId="0" borderId="49" xfId="0" applyFont="1" applyBorder="1"/>
    <xf numFmtId="3" fontId="47" fillId="0" borderId="50" xfId="0" applyNumberFormat="1" applyFont="1" applyBorder="1" applyAlignment="1">
      <alignment horizontal="right"/>
    </xf>
    <xf numFmtId="0" fontId="47" fillId="0" borderId="0" xfId="0" applyFont="1" applyBorder="1"/>
    <xf numFmtId="3" fontId="47" fillId="0" borderId="0" xfId="0" applyNumberFormat="1" applyFont="1" applyBorder="1" applyAlignment="1">
      <alignment horizontal="right"/>
    </xf>
    <xf numFmtId="0" fontId="47" fillId="0" borderId="0" xfId="0" applyFont="1" applyFill="1" applyBorder="1"/>
    <xf numFmtId="0" fontId="48" fillId="0" borderId="0" xfId="0" applyFont="1" applyFill="1" applyBorder="1"/>
    <xf numFmtId="3" fontId="47" fillId="0" borderId="0" xfId="0" applyNumberFormat="1" applyFont="1" applyFill="1" applyBorder="1" applyAlignment="1">
      <alignment horizontal="right"/>
    </xf>
    <xf numFmtId="0" fontId="46" fillId="0" borderId="0" xfId="0" applyFont="1" applyFill="1" applyBorder="1"/>
    <xf numFmtId="0" fontId="50" fillId="0" borderId="0" xfId="0" applyFont="1" applyAlignment="1">
      <alignment wrapText="1"/>
    </xf>
    <xf numFmtId="0" fontId="46" fillId="0" borderId="0" xfId="0" applyFont="1" applyBorder="1"/>
    <xf numFmtId="0" fontId="49" fillId="0" borderId="53" xfId="0" applyFont="1" applyBorder="1"/>
    <xf numFmtId="0" fontId="49" fillId="0" borderId="54" xfId="0" applyFont="1" applyBorder="1"/>
    <xf numFmtId="3" fontId="49" fillId="0" borderId="55" xfId="0" applyNumberFormat="1" applyFont="1" applyBorder="1" applyAlignment="1">
      <alignment horizontal="right"/>
    </xf>
    <xf numFmtId="0" fontId="0" fillId="0" borderId="62" xfId="0" applyBorder="1"/>
    <xf numFmtId="0" fontId="0" fillId="0" borderId="63" xfId="0" applyBorder="1"/>
    <xf numFmtId="3" fontId="0" fillId="0" borderId="63" xfId="0" applyNumberFormat="1" applyBorder="1"/>
    <xf numFmtId="0" fontId="0" fillId="0" borderId="64" xfId="0" applyBorder="1"/>
    <xf numFmtId="0" fontId="15" fillId="0" borderId="0" xfId="0" applyFont="1"/>
    <xf numFmtId="0" fontId="0" fillId="0" borderId="65" xfId="0" applyBorder="1"/>
    <xf numFmtId="0" fontId="0" fillId="0" borderId="0" xfId="0" applyBorder="1"/>
    <xf numFmtId="3" fontId="0" fillId="0" borderId="0" xfId="0" applyNumberFormat="1" applyBorder="1"/>
    <xf numFmtId="0" fontId="0" fillId="0" borderId="66" xfId="0" applyBorder="1"/>
    <xf numFmtId="3" fontId="0" fillId="0" borderId="14" xfId="0" applyNumberFormat="1" applyBorder="1"/>
    <xf numFmtId="3" fontId="0" fillId="0" borderId="66" xfId="0" applyNumberFormat="1" applyBorder="1"/>
    <xf numFmtId="0" fontId="0" fillId="0" borderId="67" xfId="0" applyBorder="1"/>
    <xf numFmtId="0" fontId="0" fillId="0" borderId="68" xfId="0" applyBorder="1"/>
    <xf numFmtId="3" fontId="0" fillId="0" borderId="68" xfId="0" applyNumberFormat="1" applyBorder="1"/>
    <xf numFmtId="0" fontId="0" fillId="0" borderId="69" xfId="0" applyBorder="1"/>
    <xf numFmtId="0" fontId="0" fillId="0" borderId="0" xfId="0" applyFill="1" applyBorder="1"/>
    <xf numFmtId="3" fontId="0" fillId="0" borderId="69" xfId="0" applyNumberFormat="1" applyBorder="1"/>
    <xf numFmtId="167" fontId="0" fillId="0" borderId="0" xfId="0" applyNumberFormat="1" applyAlignment="1">
      <alignment horizontal="left"/>
    </xf>
    <xf numFmtId="0" fontId="0" fillId="0" borderId="65" xfId="0" quotePrefix="1" applyBorder="1"/>
    <xf numFmtId="0" fontId="51" fillId="0" borderId="0" xfId="0" applyFont="1" applyAlignment="1">
      <alignment vertical="center"/>
    </xf>
    <xf numFmtId="0" fontId="34" fillId="0" borderId="0" xfId="0" applyFont="1"/>
    <xf numFmtId="0" fontId="34" fillId="0" borderId="63" xfId="0" applyFont="1" applyBorder="1"/>
    <xf numFmtId="0" fontId="51" fillId="0" borderId="63" xfId="0" applyFont="1" applyBorder="1" applyAlignment="1">
      <alignment vertical="center"/>
    </xf>
    <xf numFmtId="0" fontId="0" fillId="0" borderId="40" xfId="0" applyBorder="1"/>
    <xf numFmtId="0" fontId="0" fillId="0" borderId="41" xfId="0" applyBorder="1"/>
    <xf numFmtId="3" fontId="0" fillId="0" borderId="41" xfId="0" applyNumberFormat="1" applyBorder="1"/>
    <xf numFmtId="3" fontId="0" fillId="0" borderId="42" xfId="0" applyNumberFormat="1" applyBorder="1"/>
    <xf numFmtId="0" fontId="0" fillId="0" borderId="70" xfId="0" applyBorder="1"/>
    <xf numFmtId="0" fontId="0" fillId="0" borderId="71" xfId="0" applyBorder="1"/>
    <xf numFmtId="3" fontId="0" fillId="0" borderId="72" xfId="0" applyNumberFormat="1" applyBorder="1"/>
    <xf numFmtId="9" fontId="0" fillId="0" borderId="0" xfId="0" applyNumberFormat="1" applyBorder="1"/>
    <xf numFmtId="0" fontId="3" fillId="0" borderId="0" xfId="0" applyFont="1" applyAlignment="1">
      <alignment wrapText="1"/>
    </xf>
    <xf numFmtId="0" fontId="13" fillId="33" borderId="73" xfId="92" applyFont="1" applyFill="1" applyBorder="1" applyAlignment="1">
      <alignment horizontal="center"/>
    </xf>
    <xf numFmtId="0" fontId="13" fillId="0" borderId="20" xfId="92" applyFont="1" applyFill="1" applyBorder="1" applyAlignment="1">
      <alignment horizontal="right" wrapText="1"/>
    </xf>
    <xf numFmtId="0" fontId="13" fillId="0" borderId="20" xfId="92" applyFont="1" applyFill="1" applyBorder="1" applyAlignment="1">
      <alignment wrapText="1"/>
    </xf>
    <xf numFmtId="0" fontId="13" fillId="33" borderId="73" xfId="91" applyFont="1" applyFill="1" applyBorder="1" applyAlignment="1">
      <alignment horizontal="center"/>
    </xf>
    <xf numFmtId="0" fontId="13" fillId="0" borderId="20" xfId="91" applyFont="1" applyFill="1" applyBorder="1" applyAlignment="1">
      <alignment wrapText="1"/>
    </xf>
    <xf numFmtId="0" fontId="13" fillId="0" borderId="20" xfId="91" applyFont="1" applyFill="1" applyBorder="1" applyAlignment="1">
      <alignment horizontal="right" wrapText="1"/>
    </xf>
    <xf numFmtId="4" fontId="13" fillId="0" borderId="20" xfId="91" applyNumberFormat="1" applyFont="1" applyFill="1" applyBorder="1" applyAlignment="1">
      <alignment horizontal="right" wrapText="1"/>
    </xf>
    <xf numFmtId="0" fontId="34" fillId="0" borderId="65" xfId="0" applyFont="1" applyBorder="1"/>
    <xf numFmtId="0" fontId="34" fillId="0" borderId="62" xfId="0" applyFont="1" applyBorder="1"/>
    <xf numFmtId="0" fontId="34" fillId="0" borderId="67" xfId="0" applyFont="1" applyBorder="1"/>
    <xf numFmtId="0" fontId="34" fillId="0" borderId="0" xfId="0" applyFont="1" applyBorder="1"/>
    <xf numFmtId="0" fontId="37" fillId="0" borderId="0" xfId="0" applyFont="1" applyBorder="1"/>
    <xf numFmtId="0" fontId="37" fillId="0" borderId="14" xfId="0" applyFont="1" applyBorder="1" applyAlignment="1">
      <alignment horizontal="center"/>
    </xf>
    <xf numFmtId="3" fontId="34" fillId="0" borderId="16" xfId="0" applyNumberFormat="1" applyFont="1" applyBorder="1" applyAlignment="1">
      <alignment horizontal="right"/>
    </xf>
    <xf numFmtId="3" fontId="0" fillId="0" borderId="74" xfId="0" applyNumberFormat="1" applyBorder="1"/>
    <xf numFmtId="3" fontId="37" fillId="0" borderId="16" xfId="0" applyNumberFormat="1" applyFont="1" applyBorder="1" applyAlignment="1">
      <alignment horizontal="right"/>
    </xf>
    <xf numFmtId="0" fontId="4" fillId="2" borderId="2" xfId="0" applyFont="1" applyFill="1" applyBorder="1" applyAlignment="1">
      <alignment vertical="center" wrapText="1"/>
    </xf>
    <xf numFmtId="0" fontId="1" fillId="0" borderId="2" xfId="0" applyFont="1" applyBorder="1" applyAlignment="1">
      <alignment vertical="top" wrapText="1"/>
    </xf>
    <xf numFmtId="0" fontId="0" fillId="0" borderId="2" xfId="0" applyBorder="1" applyAlignment="1">
      <alignment vertical="top" wrapText="1"/>
    </xf>
    <xf numFmtId="0" fontId="53" fillId="0" borderId="0" xfId="0" applyFont="1" applyAlignment="1">
      <alignment vertical="center" wrapText="1"/>
    </xf>
    <xf numFmtId="0" fontId="54" fillId="0" borderId="0" xfId="0" applyFont="1" applyAlignment="1">
      <alignment vertical="center" wrapText="1"/>
    </xf>
    <xf numFmtId="0" fontId="54" fillId="0" borderId="0" xfId="0" applyFont="1" applyAlignment="1">
      <alignment vertical="center"/>
    </xf>
    <xf numFmtId="0" fontId="54" fillId="0" borderId="2" xfId="0" applyFont="1" applyBorder="1" applyAlignment="1">
      <alignment vertical="center"/>
    </xf>
    <xf numFmtId="0" fontId="53" fillId="0" borderId="2" xfId="0" applyFont="1" applyBorder="1" applyAlignment="1">
      <alignment vertical="center"/>
    </xf>
    <xf numFmtId="0" fontId="56" fillId="0" borderId="2" xfId="0" applyFont="1" applyBorder="1" applyAlignment="1">
      <alignment vertical="center"/>
    </xf>
    <xf numFmtId="0" fontId="0" fillId="0" borderId="2" xfId="0" applyBorder="1" applyAlignment="1">
      <alignment vertical="top"/>
    </xf>
    <xf numFmtId="3" fontId="0" fillId="0" borderId="2" xfId="0" applyNumberFormat="1" applyBorder="1" applyAlignment="1">
      <alignment vertical="top"/>
    </xf>
    <xf numFmtId="164" fontId="12" fillId="0" borderId="2" xfId="1" applyNumberFormat="1" applyFont="1" applyBorder="1" applyAlignment="1">
      <alignment vertical="top"/>
    </xf>
    <xf numFmtId="0" fontId="1" fillId="0" borderId="0" xfId="0" applyFont="1" applyBorder="1"/>
    <xf numFmtId="0" fontId="12" fillId="0" borderId="2" xfId="0" applyFont="1" applyBorder="1" applyAlignment="1">
      <alignment wrapText="1"/>
    </xf>
    <xf numFmtId="164" fontId="12" fillId="0" borderId="2" xfId="4" quotePrefix="1" applyNumberFormat="1" applyFont="1" applyBorder="1" applyAlignment="1">
      <alignment wrapText="1"/>
    </xf>
    <xf numFmtId="0" fontId="12" fillId="0" borderId="2" xfId="0" applyFont="1" applyBorder="1" applyAlignment="1">
      <alignment wrapText="1"/>
    </xf>
    <xf numFmtId="0" fontId="0" fillId="0" borderId="0" xfId="0" applyAlignment="1">
      <alignment vertical="center" wrapText="1"/>
    </xf>
    <xf numFmtId="0" fontId="3" fillId="29" borderId="0" xfId="0" applyFont="1" applyFill="1"/>
    <xf numFmtId="0" fontId="0" fillId="29" borderId="0" xfId="0" applyFill="1"/>
    <xf numFmtId="0" fontId="0" fillId="34" borderId="2" xfId="0" quotePrefix="1" applyNumberFormat="1" applyFill="1" applyBorder="1"/>
    <xf numFmtId="0" fontId="0" fillId="35" borderId="0" xfId="0" applyFill="1"/>
    <xf numFmtId="49" fontId="0" fillId="0" borderId="2" xfId="0" applyNumberFormat="1" applyBorder="1"/>
    <xf numFmtId="164" fontId="0" fillId="0" borderId="2" xfId="1" applyNumberFormat="1" applyFont="1" applyBorder="1"/>
    <xf numFmtId="168" fontId="0" fillId="0" borderId="2" xfId="1" applyNumberFormat="1" applyFont="1" applyBorder="1"/>
    <xf numFmtId="164" fontId="0" fillId="35" borderId="0" xfId="1" applyNumberFormat="1" applyFont="1" applyFill="1"/>
    <xf numFmtId="49" fontId="0" fillId="29" borderId="0" xfId="0" applyNumberFormat="1" applyFill="1" applyBorder="1"/>
    <xf numFmtId="164" fontId="0" fillId="29" borderId="0" xfId="1" applyNumberFormat="1" applyFont="1" applyFill="1" applyBorder="1"/>
    <xf numFmtId="168" fontId="0" fillId="29" borderId="0" xfId="1" applyNumberFormat="1" applyFont="1" applyFill="1" applyBorder="1"/>
    <xf numFmtId="0" fontId="3" fillId="35" borderId="0" xfId="0" applyFont="1" applyFill="1"/>
    <xf numFmtId="164" fontId="3" fillId="35" borderId="0" xfId="0" applyNumberFormat="1" applyFont="1" applyFill="1"/>
    <xf numFmtId="0" fontId="0" fillId="29" borderId="0" xfId="0" quotePrefix="1" applyNumberFormat="1" applyFill="1" applyBorder="1"/>
    <xf numFmtId="49" fontId="0" fillId="29" borderId="0" xfId="0" quotePrefix="1" applyNumberFormat="1" applyFill="1" applyBorder="1" applyAlignment="1">
      <alignment horizontal="right"/>
    </xf>
    <xf numFmtId="164" fontId="0" fillId="29" borderId="0" xfId="1" quotePrefix="1" applyNumberFormat="1" applyFont="1" applyFill="1" applyBorder="1"/>
    <xf numFmtId="168" fontId="0" fillId="29" borderId="0" xfId="1" quotePrefix="1" applyNumberFormat="1" applyFont="1" applyFill="1" applyBorder="1"/>
    <xf numFmtId="0" fontId="0" fillId="29" borderId="0" xfId="0" applyFill="1" applyBorder="1"/>
    <xf numFmtId="164" fontId="0" fillId="29" borderId="0" xfId="1" applyNumberFormat="1" applyFont="1" applyFill="1"/>
    <xf numFmtId="0" fontId="3" fillId="29" borderId="0" xfId="0" applyFont="1" applyFill="1" applyBorder="1"/>
    <xf numFmtId="169" fontId="0" fillId="29" borderId="0" xfId="0" applyNumberFormat="1" applyFill="1"/>
    <xf numFmtId="0" fontId="3" fillId="28" borderId="0" xfId="0" applyFont="1" applyFill="1"/>
    <xf numFmtId="0" fontId="0" fillId="28" borderId="0" xfId="0" applyFill="1"/>
    <xf numFmtId="164" fontId="59" fillId="0" borderId="0" xfId="0" applyNumberFormat="1" applyFont="1" applyFill="1" applyAlignment="1"/>
    <xf numFmtId="0" fontId="0" fillId="29" borderId="2" xfId="0" quotePrefix="1" applyNumberFormat="1" applyFill="1" applyBorder="1"/>
    <xf numFmtId="164" fontId="0" fillId="29" borderId="2" xfId="1" quotePrefix="1" applyNumberFormat="1" applyFont="1" applyFill="1" applyBorder="1"/>
    <xf numFmtId="49" fontId="0" fillId="29" borderId="2" xfId="0" applyNumberFormat="1" applyFill="1" applyBorder="1"/>
    <xf numFmtId="164" fontId="0" fillId="29" borderId="2" xfId="1" applyNumberFormat="1" applyFont="1" applyFill="1" applyBorder="1"/>
    <xf numFmtId="168" fontId="0" fillId="29" borderId="2" xfId="1" applyNumberFormat="1" applyFont="1" applyFill="1" applyBorder="1"/>
    <xf numFmtId="0" fontId="5" fillId="0" borderId="2" xfId="2" quotePrefix="1" applyBorder="1" applyAlignment="1">
      <alignment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49" fontId="0" fillId="0" borderId="76" xfId="0" applyNumberFormat="1" applyBorder="1" applyAlignment="1">
      <alignment wrapText="1"/>
    </xf>
    <xf numFmtId="0" fontId="0" fillId="0" borderId="77" xfId="0" applyBorder="1" applyAlignment="1">
      <alignment wrapText="1"/>
    </xf>
    <xf numFmtId="0" fontId="0" fillId="0" borderId="85" xfId="0" applyBorder="1" applyAlignment="1">
      <alignment wrapText="1"/>
    </xf>
    <xf numFmtId="3" fontId="0" fillId="0" borderId="85" xfId="0" applyNumberFormat="1" applyBorder="1" applyAlignment="1">
      <alignment wrapText="1"/>
    </xf>
    <xf numFmtId="0" fontId="0" fillId="0" borderId="84" xfId="0" applyBorder="1" applyAlignment="1">
      <alignment wrapText="1"/>
    </xf>
    <xf numFmtId="3" fontId="0" fillId="0" borderId="84" xfId="0" applyNumberFormat="1" applyBorder="1" applyAlignment="1">
      <alignment wrapText="1"/>
    </xf>
    <xf numFmtId="49" fontId="0" fillId="0" borderId="83" xfId="0" applyNumberFormat="1" applyBorder="1" applyAlignment="1">
      <alignment wrapText="1"/>
    </xf>
    <xf numFmtId="164" fontId="0" fillId="0" borderId="0" xfId="1" applyNumberFormat="1" applyFont="1"/>
    <xf numFmtId="0" fontId="3" fillId="0" borderId="0" xfId="0" applyFont="1" applyBorder="1" applyAlignment="1">
      <alignment horizontal="center" vertical="center" wrapText="1"/>
    </xf>
    <xf numFmtId="3" fontId="0" fillId="0" borderId="0" xfId="0" applyNumberFormat="1" applyBorder="1" applyAlignment="1">
      <alignment wrapText="1"/>
    </xf>
    <xf numFmtId="0" fontId="0" fillId="0" borderId="0" xfId="0" applyBorder="1" applyAlignment="1">
      <alignment wrapText="1"/>
    </xf>
    <xf numFmtId="0" fontId="0" fillId="0" borderId="0" xfId="0" applyFill="1" applyBorder="1" applyAlignment="1">
      <alignment wrapText="1"/>
    </xf>
    <xf numFmtId="164" fontId="0" fillId="0" borderId="71" xfId="1" applyNumberFormat="1" applyFont="1" applyBorder="1"/>
    <xf numFmtId="0" fontId="5" fillId="0" borderId="2" xfId="2" applyBorder="1" applyAlignment="1">
      <alignment vertical="center" wrapText="1"/>
    </xf>
    <xf numFmtId="0" fontId="3" fillId="0" borderId="0" xfId="0" applyFont="1" applyAlignment="1">
      <alignment horizontal="center" vertical="center" wrapText="1"/>
    </xf>
    <xf numFmtId="3" fontId="0" fillId="0" borderId="0" xfId="0" applyNumberFormat="1" applyAlignment="1">
      <alignment wrapText="1"/>
    </xf>
    <xf numFmtId="0" fontId="5" fillId="0" borderId="43" xfId="2" quotePrefix="1" applyBorder="1" applyAlignment="1">
      <alignment wrapText="1"/>
    </xf>
    <xf numFmtId="0" fontId="5" fillId="0" borderId="47" xfId="2" applyBorder="1" applyAlignment="1">
      <alignment wrapText="1"/>
    </xf>
    <xf numFmtId="0" fontId="5" fillId="0" borderId="43" xfId="2" applyBorder="1" applyAlignment="1">
      <alignment vertical="center" wrapText="1"/>
    </xf>
    <xf numFmtId="0" fontId="5" fillId="0" borderId="47" xfId="2" applyBorder="1" applyAlignment="1">
      <alignment vertical="center" wrapText="1"/>
    </xf>
    <xf numFmtId="0" fontId="4" fillId="0" borderId="2" xfId="0" applyFont="1" applyBorder="1"/>
    <xf numFmtId="0" fontId="4" fillId="0" borderId="2" xfId="0" applyFont="1" applyBorder="1" applyAlignment="1">
      <alignment wrapText="1"/>
    </xf>
    <xf numFmtId="164" fontId="4" fillId="0" borderId="2" xfId="4" applyNumberFormat="1" applyFont="1" applyBorder="1"/>
    <xf numFmtId="0" fontId="4" fillId="0" borderId="2" xfId="0" applyFont="1" applyFill="1" applyBorder="1" applyAlignment="1">
      <alignment wrapText="1"/>
    </xf>
    <xf numFmtId="43" fontId="4" fillId="0" borderId="2" xfId="4" applyNumberFormat="1" applyFont="1" applyBorder="1" applyAlignment="1">
      <alignment wrapText="1"/>
    </xf>
    <xf numFmtId="0" fontId="12" fillId="0" borderId="2" xfId="0" applyFont="1" applyBorder="1" applyAlignment="1"/>
    <xf numFmtId="49" fontId="12" fillId="0" borderId="2" xfId="0" applyNumberFormat="1" applyFont="1" applyBorder="1" applyAlignment="1"/>
    <xf numFmtId="164" fontId="12" fillId="0" borderId="2" xfId="4" applyNumberFormat="1" applyFont="1" applyBorder="1" applyAlignment="1"/>
    <xf numFmtId="43" fontId="12" fillId="0" borderId="2" xfId="4" applyNumberFormat="1" applyFont="1" applyBorder="1" applyAlignment="1"/>
    <xf numFmtId="9" fontId="12" fillId="0" borderId="2" xfId="99" applyFont="1" applyBorder="1" applyAlignment="1"/>
    <xf numFmtId="0" fontId="12" fillId="0" borderId="2" xfId="0" applyFont="1" applyFill="1" applyBorder="1" applyAlignment="1">
      <alignment wrapText="1"/>
    </xf>
    <xf numFmtId="0" fontId="0" fillId="0" borderId="76" xfId="0" applyBorder="1" applyAlignment="1">
      <alignment wrapText="1"/>
    </xf>
    <xf numFmtId="0" fontId="0" fillId="0" borderId="84" xfId="0" applyFill="1" applyBorder="1" applyAlignment="1">
      <alignment wrapText="1"/>
    </xf>
    <xf numFmtId="3" fontId="0" fillId="0" borderId="86" xfId="0" applyNumberFormat="1" applyFill="1" applyBorder="1" applyAlignment="1">
      <alignment wrapText="1"/>
    </xf>
    <xf numFmtId="0" fontId="0" fillId="0" borderId="85" xfId="0" applyFill="1" applyBorder="1" applyAlignment="1">
      <alignment wrapText="1"/>
    </xf>
    <xf numFmtId="3" fontId="0" fillId="0" borderId="85" xfId="0" applyNumberFormat="1" applyFill="1" applyBorder="1" applyAlignment="1">
      <alignment wrapText="1"/>
    </xf>
    <xf numFmtId="3" fontId="0" fillId="0" borderId="87" xfId="0" applyNumberFormat="1" applyFill="1" applyBorder="1" applyAlignment="1">
      <alignment wrapText="1"/>
    </xf>
    <xf numFmtId="3" fontId="0" fillId="0" borderId="88" xfId="0" applyNumberFormat="1" applyFill="1" applyBorder="1" applyAlignment="1">
      <alignment wrapText="1"/>
    </xf>
    <xf numFmtId="0" fontId="0" fillId="0" borderId="87" xfId="0" applyFill="1" applyBorder="1" applyAlignment="1">
      <alignment wrapText="1"/>
    </xf>
    <xf numFmtId="0" fontId="0" fillId="0" borderId="0" xfId="0" applyFill="1"/>
    <xf numFmtId="0" fontId="0" fillId="0" borderId="88" xfId="0" applyFill="1" applyBorder="1" applyAlignment="1">
      <alignment wrapText="1"/>
    </xf>
    <xf numFmtId="3" fontId="0" fillId="0" borderId="87" xfId="0" applyNumberFormat="1" applyBorder="1" applyAlignment="1">
      <alignment wrapText="1"/>
    </xf>
    <xf numFmtId="0" fontId="0" fillId="28" borderId="84" xfId="0" applyFill="1" applyBorder="1" applyAlignment="1">
      <alignment wrapText="1"/>
    </xf>
    <xf numFmtId="3" fontId="0" fillId="28" borderId="84" xfId="0" applyNumberFormat="1" applyFill="1" applyBorder="1" applyAlignment="1">
      <alignment wrapText="1"/>
    </xf>
    <xf numFmtId="3" fontId="0" fillId="28" borderId="88" xfId="0" applyNumberFormat="1" applyFill="1" applyBorder="1" applyAlignment="1">
      <alignment wrapText="1"/>
    </xf>
    <xf numFmtId="3" fontId="0" fillId="0" borderId="0" xfId="0" applyNumberFormat="1" applyFill="1" applyBorder="1" applyAlignment="1">
      <alignment wrapText="1"/>
    </xf>
    <xf numFmtId="3" fontId="0" fillId="0" borderId="88" xfId="0" applyNumberFormat="1" applyBorder="1" applyAlignment="1">
      <alignment wrapText="1"/>
    </xf>
    <xf numFmtId="0" fontId="0" fillId="28" borderId="85" xfId="0" applyFill="1" applyBorder="1" applyAlignment="1">
      <alignment wrapText="1"/>
    </xf>
    <xf numFmtId="3" fontId="0" fillId="28" borderId="87" xfId="0" applyNumberFormat="1" applyFill="1" applyBorder="1" applyAlignment="1">
      <alignment wrapText="1"/>
    </xf>
    <xf numFmtId="3" fontId="0" fillId="0" borderId="0" xfId="0" applyNumberFormat="1" applyFill="1" applyBorder="1"/>
    <xf numFmtId="3" fontId="0" fillId="0" borderId="84" xfId="0" applyNumberFormat="1" applyFill="1" applyBorder="1" applyAlignment="1">
      <alignment wrapText="1"/>
    </xf>
    <xf numFmtId="0" fontId="0" fillId="0" borderId="83" xfId="0" applyBorder="1" applyAlignment="1">
      <alignment wrapText="1"/>
    </xf>
    <xf numFmtId="0" fontId="12" fillId="0" borderId="2" xfId="0" applyFont="1" applyBorder="1" applyAlignment="1">
      <alignment wrapText="1"/>
    </xf>
    <xf numFmtId="164" fontId="4" fillId="0" borderId="2" xfId="1" applyNumberFormat="1" applyFont="1" applyBorder="1"/>
    <xf numFmtId="0" fontId="12" fillId="0" borderId="2" xfId="0" applyFont="1" applyBorder="1"/>
    <xf numFmtId="49" fontId="12" fillId="0" borderId="2" xfId="0" applyNumberFormat="1" applyFont="1" applyBorder="1"/>
    <xf numFmtId="164" fontId="12" fillId="0" borderId="2" xfId="1" applyNumberFormat="1" applyFont="1" applyBorder="1"/>
    <xf numFmtId="164" fontId="12" fillId="0" borderId="2" xfId="0" applyNumberFormat="1" applyFont="1" applyBorder="1"/>
    <xf numFmtId="0" fontId="12" fillId="0" borderId="0" xfId="0" applyFont="1" applyBorder="1"/>
    <xf numFmtId="0" fontId="4" fillId="0" borderId="0" xfId="0" applyFont="1" applyBorder="1" applyAlignment="1">
      <alignment wrapText="1"/>
    </xf>
    <xf numFmtId="164" fontId="12" fillId="0" borderId="0" xfId="1" applyNumberFormat="1" applyFont="1" applyBorder="1"/>
    <xf numFmtId="0" fontId="12" fillId="0" borderId="0" xfId="0" applyFont="1" applyBorder="1" applyAlignment="1">
      <alignment wrapText="1"/>
    </xf>
    <xf numFmtId="0" fontId="60"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1" fillId="0" borderId="0" xfId="0" applyFont="1" applyAlignment="1">
      <alignment vertical="center" wrapText="1"/>
    </xf>
    <xf numFmtId="0" fontId="65" fillId="0" borderId="0" xfId="0" applyFont="1" applyAlignment="1">
      <alignment vertical="center"/>
    </xf>
    <xf numFmtId="0" fontId="66" fillId="0" borderId="0" xfId="0" applyFont="1" applyAlignment="1">
      <alignment vertical="center"/>
    </xf>
    <xf numFmtId="0" fontId="66" fillId="0" borderId="0" xfId="0" applyFont="1" applyAlignment="1">
      <alignment vertical="center" wrapText="1"/>
    </xf>
    <xf numFmtId="0" fontId="1" fillId="0" borderId="2" xfId="0" applyFont="1" applyFill="1" applyBorder="1" applyAlignment="1">
      <alignment wrapText="1"/>
    </xf>
    <xf numFmtId="0" fontId="12" fillId="0" borderId="2" xfId="0" applyFont="1" applyBorder="1" applyAlignment="1">
      <alignment wrapText="1"/>
    </xf>
    <xf numFmtId="49" fontId="3" fillId="0" borderId="83" xfId="0" applyNumberFormat="1" applyFont="1" applyBorder="1" applyAlignment="1">
      <alignment wrapText="1"/>
    </xf>
    <xf numFmtId="0" fontId="3" fillId="0" borderId="84" xfId="0" applyFont="1" applyBorder="1" applyAlignment="1">
      <alignment wrapText="1"/>
    </xf>
    <xf numFmtId="3" fontId="3" fillId="0" borderId="84" xfId="0" applyNumberFormat="1" applyFont="1" applyBorder="1" applyAlignment="1">
      <alignment wrapText="1"/>
    </xf>
    <xf numFmtId="0" fontId="67" fillId="0" borderId="0" xfId="0" applyFont="1"/>
    <xf numFmtId="0" fontId="0" fillId="0" borderId="0" xfId="0" applyAlignment="1">
      <alignment horizontal="left"/>
    </xf>
    <xf numFmtId="0" fontId="3" fillId="0" borderId="89" xfId="0" applyFont="1" applyBorder="1" applyAlignment="1">
      <alignment horizontal="center" vertical="top"/>
    </xf>
    <xf numFmtId="0" fontId="3" fillId="0" borderId="90" xfId="0" applyFont="1" applyBorder="1" applyAlignment="1">
      <alignment horizontal="left" vertical="top"/>
    </xf>
    <xf numFmtId="0" fontId="3" fillId="0" borderId="90" xfId="0" applyFont="1" applyBorder="1" applyAlignment="1">
      <alignment horizontal="center" vertical="top"/>
    </xf>
    <xf numFmtId="0" fontId="3" fillId="0" borderId="91" xfId="0" applyFont="1" applyBorder="1" applyAlignment="1">
      <alignment horizontal="center" vertical="top"/>
    </xf>
    <xf numFmtId="0" fontId="0" fillId="2" borderId="92" xfId="0" applyFill="1" applyBorder="1" applyAlignment="1">
      <alignment vertical="top"/>
    </xf>
    <xf numFmtId="0" fontId="0" fillId="2" borderId="93" xfId="0" applyFill="1" applyBorder="1" applyAlignment="1">
      <alignment horizontal="left" vertical="top"/>
    </xf>
    <xf numFmtId="0" fontId="0" fillId="2" borderId="93" xfId="0" applyFill="1" applyBorder="1" applyAlignment="1">
      <alignment vertical="top"/>
    </xf>
    <xf numFmtId="15" fontId="0" fillId="2" borderId="93" xfId="0" applyNumberFormat="1" applyFill="1" applyBorder="1" applyAlignment="1">
      <alignment vertical="top"/>
    </xf>
    <xf numFmtId="164" fontId="0" fillId="2" borderId="93" xfId="1" applyNumberFormat="1" applyFont="1" applyFill="1" applyBorder="1" applyAlignment="1">
      <alignment vertical="top"/>
    </xf>
    <xf numFmtId="0" fontId="0" fillId="2" borderId="94" xfId="0" applyFill="1" applyBorder="1" applyAlignment="1">
      <alignment vertical="top"/>
    </xf>
    <xf numFmtId="0" fontId="0" fillId="0" borderId="92" xfId="0" applyBorder="1" applyAlignment="1">
      <alignment vertical="top"/>
    </xf>
    <xf numFmtId="0" fontId="0" fillId="0" borderId="93" xfId="0" applyBorder="1" applyAlignment="1">
      <alignment horizontal="left" vertical="top"/>
    </xf>
    <xf numFmtId="0" fontId="0" fillId="0" borderId="93" xfId="0" applyBorder="1" applyAlignment="1">
      <alignment vertical="top"/>
    </xf>
    <xf numFmtId="15" fontId="0" fillId="0" borderId="93" xfId="0" applyNumberFormat="1" applyBorder="1" applyAlignment="1">
      <alignment vertical="top"/>
    </xf>
    <xf numFmtId="164" fontId="0" fillId="0" borderId="93" xfId="1" applyNumberFormat="1" applyFont="1" applyBorder="1" applyAlignment="1">
      <alignment vertical="top"/>
    </xf>
    <xf numFmtId="0" fontId="0" fillId="0" borderId="94" xfId="0" applyBorder="1" applyAlignment="1">
      <alignment vertical="top"/>
    </xf>
    <xf numFmtId="0" fontId="0" fillId="0" borderId="95" xfId="0" applyBorder="1" applyAlignment="1">
      <alignment vertical="top"/>
    </xf>
    <xf numFmtId="0" fontId="0" fillId="0" borderId="96" xfId="0" applyBorder="1" applyAlignment="1">
      <alignment horizontal="left" vertical="top"/>
    </xf>
    <xf numFmtId="0" fontId="0" fillId="0" borderId="96" xfId="0" applyBorder="1" applyAlignment="1">
      <alignment vertical="top"/>
    </xf>
    <xf numFmtId="15" fontId="0" fillId="0" borderId="96" xfId="0" applyNumberFormat="1" applyBorder="1" applyAlignment="1">
      <alignment vertical="top"/>
    </xf>
    <xf numFmtId="164" fontId="0" fillId="0" borderId="96" xfId="1" applyNumberFormat="1" applyFont="1" applyBorder="1" applyAlignment="1">
      <alignment vertical="top"/>
    </xf>
    <xf numFmtId="0" fontId="0" fillId="0" borderId="97" xfId="0" applyBorder="1" applyAlignment="1">
      <alignment vertical="top"/>
    </xf>
    <xf numFmtId="0" fontId="5" fillId="0" borderId="2" xfId="2" quotePrefix="1" applyBorder="1" applyAlignment="1">
      <alignment vertical="top" wrapText="1"/>
    </xf>
    <xf numFmtId="0" fontId="5" fillId="0" borderId="2" xfId="2" applyBorder="1" applyAlignment="1">
      <alignment vertical="top" wrapText="1"/>
    </xf>
    <xf numFmtId="0" fontId="12" fillId="0" borderId="2" xfId="0" applyFont="1" applyBorder="1" applyAlignment="1">
      <alignment wrapText="1"/>
    </xf>
    <xf numFmtId="0" fontId="1" fillId="0" borderId="0" xfId="0" applyFont="1" applyAlignment="1">
      <alignment horizontal="left" vertical="center"/>
    </xf>
    <xf numFmtId="0" fontId="1" fillId="0" borderId="0" xfId="0" applyFont="1" applyAlignment="1">
      <alignment vertical="center"/>
    </xf>
    <xf numFmtId="0" fontId="4" fillId="2" borderId="2" xfId="0" applyFont="1" applyFill="1" applyBorder="1" applyAlignment="1">
      <alignment horizontal="left" vertical="center" wrapText="1"/>
    </xf>
    <xf numFmtId="0" fontId="5" fillId="0" borderId="2" xfId="2" applyBorder="1" applyAlignment="1">
      <alignment horizontal="center" vertical="center" wrapText="1"/>
    </xf>
    <xf numFmtId="0" fontId="1" fillId="0" borderId="2" xfId="0" applyFont="1" applyBorder="1" applyAlignment="1">
      <alignment horizontal="left" wrapText="1"/>
    </xf>
    <xf numFmtId="0" fontId="1" fillId="0" borderId="2" xfId="0" applyFont="1" applyBorder="1" applyAlignment="1">
      <alignment horizontal="center" wrapText="1"/>
    </xf>
    <xf numFmtId="164" fontId="1" fillId="0" borderId="2" xfId="1" applyNumberFormat="1" applyFont="1" applyBorder="1" applyAlignment="1">
      <alignment horizontal="center" wrapText="1"/>
    </xf>
    <xf numFmtId="0" fontId="1" fillId="0" borderId="2" xfId="0" applyFont="1" applyBorder="1" applyAlignment="1">
      <alignment vertical="top" wrapText="1"/>
    </xf>
    <xf numFmtId="0" fontId="12" fillId="0" borderId="2" xfId="0" applyFont="1" applyBorder="1" applyAlignment="1">
      <alignment wrapText="1"/>
    </xf>
    <xf numFmtId="0" fontId="57" fillId="0" borderId="2" xfId="0" applyFont="1" applyBorder="1" applyAlignment="1">
      <alignment vertical="top" wrapText="1"/>
    </xf>
    <xf numFmtId="0" fontId="5" fillId="0" borderId="43" xfId="2" applyBorder="1" applyAlignment="1">
      <alignment horizontal="center" wrapText="1"/>
    </xf>
    <xf numFmtId="0" fontId="5" fillId="0" borderId="75" xfId="2" applyBorder="1" applyAlignment="1">
      <alignment horizontal="center" wrapText="1"/>
    </xf>
    <xf numFmtId="0" fontId="5" fillId="0" borderId="47" xfId="2" applyBorder="1" applyAlignment="1">
      <alignment horizontal="center" wrapText="1"/>
    </xf>
    <xf numFmtId="0" fontId="12" fillId="0" borderId="43" xfId="3" applyFont="1" applyBorder="1" applyAlignment="1">
      <alignment horizontal="left" vertical="top" wrapText="1"/>
    </xf>
    <xf numFmtId="0" fontId="12" fillId="0" borderId="47" xfId="3" applyFont="1" applyBorder="1" applyAlignment="1">
      <alignment horizontal="left" vertical="top" wrapText="1"/>
    </xf>
    <xf numFmtId="0" fontId="5" fillId="0" borderId="43" xfId="2" applyBorder="1" applyAlignment="1">
      <alignment horizontal="left" vertical="center" wrapText="1"/>
    </xf>
    <xf numFmtId="0" fontId="5" fillId="0" borderId="75" xfId="2" applyBorder="1" applyAlignment="1">
      <alignment horizontal="left" vertical="center" wrapText="1"/>
    </xf>
    <xf numFmtId="0" fontId="5" fillId="0" borderId="47" xfId="2" applyBorder="1" applyAlignment="1">
      <alignment horizontal="left" vertical="center" wrapText="1"/>
    </xf>
    <xf numFmtId="0" fontId="15" fillId="0" borderId="5" xfId="6" applyFont="1" applyBorder="1" applyAlignment="1">
      <alignment horizontal="center" vertical="center" wrapText="1"/>
    </xf>
    <xf numFmtId="0" fontId="15" fillId="0" borderId="6" xfId="6" applyFont="1" applyBorder="1" applyAlignment="1">
      <alignment horizontal="center" vertical="center" wrapText="1"/>
    </xf>
    <xf numFmtId="0" fontId="15" fillId="0" borderId="7" xfId="6" applyFont="1" applyBorder="1" applyAlignment="1">
      <alignment horizontal="center" vertical="center" wrapText="1"/>
    </xf>
    <xf numFmtId="0" fontId="15" fillId="0" borderId="8" xfId="6" applyFont="1" applyBorder="1" applyAlignment="1">
      <alignment horizontal="center" vertical="center" wrapText="1"/>
    </xf>
    <xf numFmtId="0" fontId="15" fillId="0" borderId="9" xfId="6" applyFont="1" applyBorder="1" applyAlignment="1">
      <alignment horizontal="center" vertical="center" wrapText="1"/>
    </xf>
    <xf numFmtId="0" fontId="34" fillId="0" borderId="35" xfId="0" applyFont="1" applyBorder="1" applyAlignment="1">
      <alignment horizontal="center" wrapText="1"/>
    </xf>
    <xf numFmtId="0" fontId="34" fillId="0" borderId="0" xfId="0" applyFont="1" applyBorder="1" applyAlignment="1">
      <alignment horizontal="center" wrapText="1"/>
    </xf>
    <xf numFmtId="0" fontId="34" fillId="0" borderId="36" xfId="0" applyFont="1" applyBorder="1" applyAlignment="1">
      <alignment horizontal="center" wrapText="1"/>
    </xf>
    <xf numFmtId="0" fontId="34" fillId="0" borderId="37" xfId="0" applyFont="1" applyBorder="1" applyAlignment="1">
      <alignment horizontal="center" wrapText="1"/>
    </xf>
    <xf numFmtId="0" fontId="34" fillId="0" borderId="38" xfId="0" applyFont="1" applyBorder="1" applyAlignment="1">
      <alignment horizontal="center" wrapText="1"/>
    </xf>
    <xf numFmtId="0" fontId="34" fillId="0" borderId="39" xfId="0" applyFont="1" applyBorder="1" applyAlignment="1">
      <alignment horizontal="center" wrapText="1"/>
    </xf>
    <xf numFmtId="0" fontId="38" fillId="3" borderId="29" xfId="0" quotePrefix="1" applyFont="1" applyFill="1" applyBorder="1" applyAlignment="1">
      <alignment horizontal="center"/>
    </xf>
    <xf numFmtId="0" fontId="38" fillId="3" borderId="31" xfId="0" applyFont="1" applyFill="1" applyBorder="1" applyAlignment="1">
      <alignment horizontal="center"/>
    </xf>
    <xf numFmtId="0" fontId="38" fillId="3" borderId="30" xfId="0" applyFont="1" applyFill="1" applyBorder="1" applyAlignment="1">
      <alignment horizontal="center"/>
    </xf>
    <xf numFmtId="0" fontId="34" fillId="0" borderId="32" xfId="0" applyFont="1" applyBorder="1" applyAlignment="1">
      <alignment horizontal="center" wrapText="1"/>
    </xf>
    <xf numFmtId="0" fontId="34" fillId="0" borderId="33" xfId="0" applyFont="1" applyBorder="1" applyAlignment="1">
      <alignment horizontal="center" wrapText="1"/>
    </xf>
    <xf numFmtId="0" fontId="34" fillId="0" borderId="34" xfId="0" applyFont="1" applyBorder="1" applyAlignment="1">
      <alignment horizontal="center" wrapText="1"/>
    </xf>
    <xf numFmtId="0" fontId="37" fillId="3" borderId="29" xfId="0" applyFont="1" applyFill="1" applyBorder="1" applyAlignment="1">
      <alignment horizontal="center"/>
    </xf>
    <xf numFmtId="0" fontId="37" fillId="3" borderId="30" xfId="0" applyFont="1" applyFill="1" applyBorder="1" applyAlignment="1">
      <alignment horizontal="center"/>
    </xf>
    <xf numFmtId="0" fontId="37" fillId="3" borderId="29" xfId="0" applyFont="1" applyFill="1" applyBorder="1" applyAlignment="1">
      <alignment horizontal="center" wrapText="1"/>
    </xf>
    <xf numFmtId="0" fontId="37" fillId="3" borderId="30" xfId="0" applyFont="1" applyFill="1" applyBorder="1" applyAlignment="1">
      <alignment horizontal="center" wrapText="1"/>
    </xf>
    <xf numFmtId="0" fontId="42" fillId="0" borderId="2" xfId="0" applyFont="1" applyBorder="1" applyAlignment="1">
      <alignment horizontal="center"/>
    </xf>
    <xf numFmtId="0" fontId="34" fillId="0" borderId="40" xfId="89" applyFont="1" applyBorder="1" applyAlignment="1">
      <alignment horizontal="center" wrapText="1"/>
    </xf>
    <xf numFmtId="0" fontId="10" fillId="0" borderId="41" xfId="89" applyBorder="1" applyAlignment="1">
      <alignment wrapText="1"/>
    </xf>
    <xf numFmtId="0" fontId="10" fillId="0" borderId="42" xfId="89" applyBorder="1" applyAlignment="1">
      <alignment wrapText="1"/>
    </xf>
    <xf numFmtId="0" fontId="34" fillId="0" borderId="40" xfId="0" applyFont="1" applyBorder="1" applyAlignment="1">
      <alignment horizontal="center" wrapText="1"/>
    </xf>
    <xf numFmtId="0" fontId="34" fillId="0" borderId="42" xfId="0" applyFont="1" applyBorder="1" applyAlignment="1">
      <alignment horizontal="center" wrapText="1"/>
    </xf>
    <xf numFmtId="0" fontId="34" fillId="0" borderId="40" xfId="0" applyFont="1" applyBorder="1" applyAlignment="1">
      <alignment horizontal="center"/>
    </xf>
    <xf numFmtId="0" fontId="34" fillId="0" borderId="42" xfId="0" applyFont="1" applyBorder="1" applyAlignment="1">
      <alignment horizontal="center"/>
    </xf>
    <xf numFmtId="0" fontId="48" fillId="0" borderId="51" xfId="0" applyFont="1" applyBorder="1" applyAlignment="1">
      <alignment horizontal="left" wrapText="1"/>
    </xf>
    <xf numFmtId="0" fontId="48" fillId="0" borderId="0" xfId="0" applyFont="1" applyBorder="1" applyAlignment="1">
      <alignment horizontal="left" wrapText="1"/>
    </xf>
    <xf numFmtId="0" fontId="48" fillId="0" borderId="54" xfId="0" applyFont="1" applyBorder="1" applyAlignment="1">
      <alignment horizontal="left" wrapText="1"/>
    </xf>
    <xf numFmtId="0" fontId="47" fillId="32" borderId="48" xfId="0" applyFont="1" applyFill="1" applyBorder="1" applyAlignment="1">
      <alignment horizontal="left"/>
    </xf>
    <xf numFmtId="0" fontId="47" fillId="32" borderId="49" xfId="0" applyFont="1" applyFill="1" applyBorder="1" applyAlignment="1">
      <alignment horizontal="left"/>
    </xf>
    <xf numFmtId="0" fontId="47" fillId="32" borderId="48" xfId="0" applyFont="1" applyFill="1" applyBorder="1" applyAlignment="1">
      <alignment horizontal="left" wrapText="1"/>
    </xf>
    <xf numFmtId="0" fontId="47" fillId="32" borderId="49" xfId="0" applyFont="1" applyFill="1" applyBorder="1" applyAlignment="1">
      <alignment horizontal="left" wrapText="1"/>
    </xf>
    <xf numFmtId="0" fontId="47" fillId="32" borderId="50" xfId="0" applyFont="1" applyFill="1" applyBorder="1" applyAlignment="1">
      <alignment horizontal="left"/>
    </xf>
    <xf numFmtId="0" fontId="38" fillId="3" borderId="29" xfId="0" applyFont="1" applyFill="1" applyBorder="1" applyAlignment="1">
      <alignment horizontal="center"/>
    </xf>
    <xf numFmtId="0" fontId="55" fillId="0" borderId="2" xfId="0" applyFont="1" applyBorder="1" applyAlignment="1">
      <alignment horizontal="left"/>
    </xf>
    <xf numFmtId="0" fontId="54" fillId="0" borderId="2" xfId="0" applyFont="1" applyBorder="1" applyAlignment="1">
      <alignment horizontal="center"/>
    </xf>
    <xf numFmtId="0" fontId="0" fillId="0" borderId="40" xfId="0" applyBorder="1" applyAlignment="1">
      <alignment horizontal="center"/>
    </xf>
    <xf numFmtId="0" fontId="0" fillId="0" borderId="42" xfId="0" applyBorder="1" applyAlignment="1">
      <alignment horizontal="center"/>
    </xf>
    <xf numFmtId="0" fontId="56" fillId="0" borderId="43" xfId="0" applyFont="1" applyBorder="1" applyAlignment="1">
      <alignment horizontal="left" vertical="top"/>
    </xf>
    <xf numFmtId="0" fontId="56" fillId="0" borderId="75" xfId="0" applyFont="1" applyBorder="1" applyAlignment="1">
      <alignment horizontal="left" vertical="top"/>
    </xf>
    <xf numFmtId="0" fontId="56" fillId="0" borderId="47" xfId="0" applyFont="1" applyBorder="1" applyAlignment="1">
      <alignment horizontal="left" vertical="top"/>
    </xf>
    <xf numFmtId="0" fontId="0" fillId="0" borderId="2" xfId="0" applyBorder="1" applyAlignment="1">
      <alignment vertical="top" wrapText="1"/>
    </xf>
    <xf numFmtId="3" fontId="0" fillId="0" borderId="2" xfId="0" applyNumberFormat="1" applyBorder="1" applyAlignment="1">
      <alignment vertical="top"/>
    </xf>
    <xf numFmtId="0" fontId="0" fillId="0" borderId="2" xfId="0" applyBorder="1" applyAlignment="1">
      <alignment vertical="top"/>
    </xf>
    <xf numFmtId="164" fontId="12" fillId="0" borderId="2" xfId="1" applyNumberFormat="1" applyFont="1" applyBorder="1" applyAlignment="1">
      <alignment vertical="top"/>
    </xf>
    <xf numFmtId="0" fontId="56" fillId="0" borderId="43" xfId="0" applyFont="1" applyBorder="1" applyAlignment="1">
      <alignment horizontal="center" vertical="center" wrapText="1"/>
    </xf>
    <xf numFmtId="0" fontId="56" fillId="0" borderId="47" xfId="0" applyFont="1" applyBorder="1" applyAlignment="1">
      <alignment horizontal="center" vertical="center" wrapText="1"/>
    </xf>
    <xf numFmtId="0" fontId="53" fillId="0" borderId="40" xfId="0" applyFont="1" applyBorder="1" applyAlignment="1">
      <alignment horizontal="left" vertical="center"/>
    </xf>
    <xf numFmtId="0" fontId="53" fillId="0" borderId="42" xfId="0" applyFont="1" applyBorder="1" applyAlignment="1">
      <alignment horizontal="left" vertical="center"/>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29" borderId="0" xfId="0" applyFill="1" applyAlignment="1">
      <alignment horizontal="left" vertical="top"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43" xfId="0" applyFont="1" applyFill="1" applyBorder="1" applyAlignment="1">
      <alignment horizontal="center" wrapText="1"/>
    </xf>
    <xf numFmtId="0" fontId="1" fillId="0" borderId="43" xfId="0" applyFont="1" applyFill="1" applyBorder="1" applyAlignment="1">
      <alignment horizontal="left" vertical="center" wrapText="1"/>
    </xf>
    <xf numFmtId="0" fontId="1" fillId="0" borderId="75" xfId="0" applyFont="1" applyFill="1" applyBorder="1" applyAlignment="1">
      <alignment horizontal="center" wrapText="1"/>
    </xf>
    <xf numFmtId="0" fontId="1" fillId="0" borderId="75" xfId="0" applyFont="1" applyFill="1" applyBorder="1" applyAlignment="1">
      <alignment horizontal="left" vertical="center" wrapText="1"/>
    </xf>
    <xf numFmtId="0" fontId="1" fillId="0" borderId="47" xfId="0" applyFont="1" applyFill="1" applyBorder="1" applyAlignment="1">
      <alignment horizontal="center" wrapText="1"/>
    </xf>
    <xf numFmtId="0" fontId="1" fillId="0" borderId="47" xfId="0" applyFont="1" applyFill="1" applyBorder="1" applyAlignment="1">
      <alignment horizontal="left" vertical="center" wrapText="1"/>
    </xf>
    <xf numFmtId="0" fontId="1" fillId="0" borderId="43" xfId="0" applyFont="1" applyFill="1" applyBorder="1" applyAlignment="1">
      <alignment wrapText="1"/>
    </xf>
    <xf numFmtId="0" fontId="5" fillId="0" borderId="2" xfId="2" applyFill="1" applyBorder="1" applyAlignment="1">
      <alignment wrapText="1"/>
    </xf>
    <xf numFmtId="0" fontId="1" fillId="0" borderId="75" xfId="0" applyFont="1" applyFill="1" applyBorder="1" applyAlignment="1">
      <alignment wrapText="1"/>
    </xf>
    <xf numFmtId="0" fontId="1" fillId="0" borderId="43"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7" xfId="0" applyFont="1" applyFill="1" applyBorder="1" applyAlignment="1">
      <alignment vertical="center" wrapText="1"/>
    </xf>
    <xf numFmtId="0" fontId="1" fillId="0" borderId="0" xfId="0" applyFont="1" applyFill="1"/>
    <xf numFmtId="0" fontId="1" fillId="0" borderId="2" xfId="0" applyFont="1" applyFill="1" applyBorder="1" applyAlignment="1">
      <alignment vertical="center"/>
    </xf>
    <xf numFmtId="0" fontId="1" fillId="0" borderId="2" xfId="0" applyFont="1" applyFill="1" applyBorder="1"/>
  </cellXfs>
  <cellStyles count="107">
    <cellStyle name="1000-sep (2 dec) 10" xfId="7"/>
    <cellStyle name="1000-sep (2 dec) 11" xfId="8"/>
    <cellStyle name="1000-sep (2 dec) 12" xfId="9"/>
    <cellStyle name="1000-sep (2 dec) 2" xfId="10"/>
    <cellStyle name="1000-sep (2 dec) 2 2" xfId="11"/>
    <cellStyle name="1000-sep (2 dec) 2 3" xfId="12"/>
    <cellStyle name="1000-sep (2 dec) 2 4" xfId="13"/>
    <cellStyle name="1000-sep (2 dec) 3 2" xfId="14"/>
    <cellStyle name="1000-sep (2 dec) 4" xfId="15"/>
    <cellStyle name="1000-sep (2 dec) 4 2" xfId="16"/>
    <cellStyle name="20 % - Markeringsfarve1 2" xfId="17"/>
    <cellStyle name="20 % - Markeringsfarve2 2" xfId="18"/>
    <cellStyle name="20 % - Markeringsfarve3 2" xfId="19"/>
    <cellStyle name="20 % - Markeringsfarve4 2" xfId="20"/>
    <cellStyle name="20 % - Markeringsfarve5 2" xfId="21"/>
    <cellStyle name="20 % - Markeringsfarve6 2" xfId="22"/>
    <cellStyle name="20% - Accent1" xfId="23"/>
    <cellStyle name="20% - Accent2" xfId="24"/>
    <cellStyle name="20% - Accent3" xfId="25"/>
    <cellStyle name="20% - Accent4" xfId="26"/>
    <cellStyle name="20% - Accent5" xfId="27"/>
    <cellStyle name="20% - Accent6" xfId="28"/>
    <cellStyle name="40 % - Markeringsfarve1 2" xfId="29"/>
    <cellStyle name="40 % - Markeringsfarve2 2" xfId="30"/>
    <cellStyle name="40 % - Markeringsfarve3 2" xfId="31"/>
    <cellStyle name="40 % - Markeringsfarve4 2" xfId="32"/>
    <cellStyle name="40 % - Markeringsfarve5 2" xfId="33"/>
    <cellStyle name="40 % - Markeringsfarve6 2" xfId="34"/>
    <cellStyle name="40% - Accent1" xfId="35"/>
    <cellStyle name="40% - Accent2" xfId="36"/>
    <cellStyle name="40% - Accent3" xfId="37"/>
    <cellStyle name="40% - Accent4" xfId="38"/>
    <cellStyle name="40% - Accent5" xfId="39"/>
    <cellStyle name="40% - Accent6" xfId="40"/>
    <cellStyle name="60 % - Markeringsfarve1 2" xfId="41"/>
    <cellStyle name="60 % - Markeringsfarve2 2" xfId="42"/>
    <cellStyle name="60 % - Markeringsfarve3 2" xfId="43"/>
    <cellStyle name="60 % - Markeringsfarve4 2" xfId="44"/>
    <cellStyle name="60 % - Markeringsfarve5 2" xfId="45"/>
    <cellStyle name="60 % - Markeringsfarve6 2" xfId="46"/>
    <cellStyle name="60% - Accent1" xfId="47"/>
    <cellStyle name="60% - Accent2" xfId="48"/>
    <cellStyle name="60% - Accent3" xfId="49"/>
    <cellStyle name="60% - Accent4" xfId="50"/>
    <cellStyle name="60% - Accent5" xfId="51"/>
    <cellStyle name="60% - Accent6" xfId="52"/>
    <cellStyle name="Accent1" xfId="53"/>
    <cellStyle name="Accent2" xfId="54"/>
    <cellStyle name="Accent3" xfId="55"/>
    <cellStyle name="Accent4" xfId="56"/>
    <cellStyle name="Accent5" xfId="57"/>
    <cellStyle name="Accent6" xfId="58"/>
    <cellStyle name="Advarselstekst 2" xfId="59"/>
    <cellStyle name="Bad" xfId="60"/>
    <cellStyle name="Bemærk! 2" xfId="61"/>
    <cellStyle name="Bemærk! 3" xfId="62"/>
    <cellStyle name="Beregning 2" xfId="63"/>
    <cellStyle name="Calculation" xfId="64"/>
    <cellStyle name="Check Cell" xfId="65"/>
    <cellStyle name="Explanatory Text" xfId="66"/>
    <cellStyle name="Forklarende tekst 2" xfId="67"/>
    <cellStyle name="Format 1" xfId="68"/>
    <cellStyle name="God 2" xfId="69"/>
    <cellStyle name="Good" xfId="70"/>
    <cellStyle name="Heading 1" xfId="71"/>
    <cellStyle name="Heading 2" xfId="72"/>
    <cellStyle name="Heading 3" xfId="73"/>
    <cellStyle name="Heading 4" xfId="74"/>
    <cellStyle name="Input 2" xfId="75"/>
    <cellStyle name="Komma" xfId="1" builtinId="3"/>
    <cellStyle name="Komma 2" xfId="4"/>
    <cellStyle name="Komma 3" xfId="76"/>
    <cellStyle name="Komma 4" xfId="77"/>
    <cellStyle name="Kontroller celle 2" xfId="78"/>
    <cellStyle name="Link" xfId="2" builtinId="8"/>
    <cellStyle name="Linked Cell" xfId="79"/>
    <cellStyle name="Markeringsfarve1 2" xfId="80"/>
    <cellStyle name="Markeringsfarve2 2" xfId="81"/>
    <cellStyle name="Markeringsfarve3 2" xfId="82"/>
    <cellStyle name="Markeringsfarve4 2" xfId="83"/>
    <cellStyle name="Markeringsfarve5 2" xfId="84"/>
    <cellStyle name="Markeringsfarve6 2" xfId="85"/>
    <cellStyle name="Neutral 2" xfId="86"/>
    <cellStyle name="Normal" xfId="0" builtinId="0"/>
    <cellStyle name="Normal 2" xfId="3"/>
    <cellStyle name="Normal 3" xfId="6"/>
    <cellStyle name="Normal 4" xfId="87"/>
    <cellStyle name="Normal 5" xfId="88"/>
    <cellStyle name="Normal 6" xfId="89"/>
    <cellStyle name="Normal 7" xfId="90"/>
    <cellStyle name="Normal_Ark1" xfId="91"/>
    <cellStyle name="Normal_Ark3" xfId="92"/>
    <cellStyle name="Normal_Høringssvar fra AUH til 2013-taksterne" xfId="5"/>
    <cellStyle name="Note" xfId="93"/>
    <cellStyle name="Output 2" xfId="94"/>
    <cellStyle name="Overskrift 1 2" xfId="95"/>
    <cellStyle name="Overskrift 2 2" xfId="96"/>
    <cellStyle name="Overskrift 3 2" xfId="97"/>
    <cellStyle name="Overskrift 4 2" xfId="98"/>
    <cellStyle name="Procent 2" xfId="99"/>
    <cellStyle name="Procent 3" xfId="100"/>
    <cellStyle name="Sammenkædet celle 2" xfId="101"/>
    <cellStyle name="Titel 2" xfId="102"/>
    <cellStyle name="Title" xfId="103"/>
    <cellStyle name="Total 2" xfId="104"/>
    <cellStyle name="Ugyldig 2" xfId="105"/>
    <cellStyle name="Warning Text" xfId="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CF8012.7C59F2B0" TargetMode="External"/><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0</xdr:rowOff>
        </xdr:from>
        <xdr:to>
          <xdr:col>9</xdr:col>
          <xdr:colOff>219075</xdr:colOff>
          <xdr:row>40</xdr:row>
          <xdr:rowOff>28575</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114299</xdr:colOff>
      <xdr:row>1</xdr:row>
      <xdr:rowOff>47624</xdr:rowOff>
    </xdr:from>
    <xdr:to>
      <xdr:col>1</xdr:col>
      <xdr:colOff>600075</xdr:colOff>
      <xdr:row>5</xdr:row>
      <xdr:rowOff>76199</xdr:rowOff>
    </xdr:to>
    <xdr:pic>
      <xdr:nvPicPr>
        <xdr:cNvPr id="2" name="Billede 1" descr="cid:image002.png@01CF8012.7C59F2B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299" y="1419224"/>
          <a:ext cx="9753601"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NDOK\SeSE\Omkostningsdatabase2015\Materiale%20til%20h&#248;ring\DAGS\justerede%20tak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NKO\Lokale%20indstillinger\Temporary%20Internet%20Files\Content.Outlook\UGMMSC8H\Takster%202015%20i%20h&#248;ring%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Ark2"/>
      <sheetName val="Ark3"/>
    </sheetNames>
    <sheetDataSet>
      <sheetData sheetId="0">
        <row r="1">
          <cell r="A1" t="str">
            <v>c_casemix15</v>
          </cell>
          <cell r="B1" t="str">
            <v>c_dagsnavn</v>
          </cell>
          <cell r="C1" t="str">
            <v>v_takst15</v>
          </cell>
          <cell r="D1" t="str">
            <v>c_kommentar15</v>
          </cell>
          <cell r="E1" t="str">
            <v>takst_endelig</v>
          </cell>
        </row>
        <row r="2">
          <cell r="A2" t="str">
            <v>AA01A</v>
          </cell>
          <cell r="B2" t="str">
            <v>Traume</v>
          </cell>
          <cell r="C2">
            <v>519</v>
          </cell>
          <cell r="D2">
            <v>0</v>
          </cell>
          <cell r="E2">
            <v>518</v>
          </cell>
        </row>
        <row r="3">
          <cell r="A3" t="str">
            <v>AA01B</v>
          </cell>
          <cell r="B3" t="str">
            <v>Mindre kir skader</v>
          </cell>
          <cell r="C3">
            <v>139</v>
          </cell>
          <cell r="D3">
            <v>0</v>
          </cell>
          <cell r="E3">
            <v>139</v>
          </cell>
        </row>
        <row r="4">
          <cell r="A4" t="str">
            <v>AA01C</v>
          </cell>
          <cell r="B4" t="str">
            <v>Småskader</v>
          </cell>
          <cell r="C4">
            <v>614</v>
          </cell>
          <cell r="D4">
            <v>0</v>
          </cell>
          <cell r="E4">
            <v>613</v>
          </cell>
        </row>
        <row r="5">
          <cell r="A5" t="str">
            <v>AA01D</v>
          </cell>
          <cell r="B5" t="str">
            <v>Ikke besøg (afregnes ikke)</v>
          </cell>
          <cell r="C5">
            <v>0</v>
          </cell>
          <cell r="D5" t="str">
            <v>Bud fra SSI</v>
          </cell>
          <cell r="E5">
            <v>0</v>
          </cell>
        </row>
        <row r="6">
          <cell r="A6" t="str">
            <v>AA01E</v>
          </cell>
          <cell r="B6" t="str">
            <v>Observation ved ulykkestilfælde eller forgiftning</v>
          </cell>
          <cell r="C6">
            <v>700</v>
          </cell>
          <cell r="D6">
            <v>0</v>
          </cell>
          <cell r="E6">
            <v>699</v>
          </cell>
        </row>
        <row r="7">
          <cell r="A7" t="str">
            <v>BG50A</v>
          </cell>
          <cell r="B7" t="str">
            <v>Ambulant besøg, pat. mindst 7 år</v>
          </cell>
          <cell r="C7">
            <v>820</v>
          </cell>
          <cell r="D7" t="str">
            <v>Bud fra SSI</v>
          </cell>
          <cell r="E7">
            <v>819</v>
          </cell>
        </row>
        <row r="8">
          <cell r="A8" t="str">
            <v>BG50B</v>
          </cell>
          <cell r="B8" t="str">
            <v>Ambulant besøg, pat. 0-6 år</v>
          </cell>
          <cell r="C8">
            <v>1583</v>
          </cell>
          <cell r="D8">
            <v>0</v>
          </cell>
          <cell r="E8">
            <v>1581</v>
          </cell>
        </row>
        <row r="9">
          <cell r="A9" t="str">
            <v>BG50C</v>
          </cell>
          <cell r="B9" t="str">
            <v>Ambulant besøg, med journaloptagelse</v>
          </cell>
          <cell r="C9">
            <v>1695</v>
          </cell>
          <cell r="D9">
            <v>0</v>
          </cell>
          <cell r="E9">
            <v>1693</v>
          </cell>
        </row>
        <row r="10">
          <cell r="A10" t="str">
            <v>BG50D</v>
          </cell>
          <cell r="B10" t="str">
            <v>Ambulant substitutionstakst, hjemmebesøg</v>
          </cell>
          <cell r="C10">
            <v>2296</v>
          </cell>
          <cell r="D10" t="str">
            <v>Bud fra SSI</v>
          </cell>
          <cell r="E10">
            <v>2294</v>
          </cell>
        </row>
        <row r="11">
          <cell r="A11" t="str">
            <v>BG50E</v>
          </cell>
          <cell r="B11" t="str">
            <v>Ambulant substitutionstakst, hjemmebesøg, jordemoder</v>
          </cell>
          <cell r="C11">
            <v>1051</v>
          </cell>
          <cell r="D11" t="str">
            <v>Bud fra Jordemoderforeningen</v>
          </cell>
          <cell r="E11">
            <v>1050</v>
          </cell>
        </row>
        <row r="12">
          <cell r="A12" t="str">
            <v>BG50F</v>
          </cell>
          <cell r="B12" t="str">
            <v>Ambulant substitutionstakst, telemedicin</v>
          </cell>
          <cell r="C12">
            <v>410</v>
          </cell>
          <cell r="D12" t="str">
            <v>Sat til halvdelen af BG50A</v>
          </cell>
          <cell r="E12">
            <v>410</v>
          </cell>
        </row>
        <row r="13">
          <cell r="A13" t="str">
            <v>BG50G</v>
          </cell>
          <cell r="B13" t="str">
            <v>Telefon- og email konsultation, samt skriftlig kommunikation ved prøvesvar</v>
          </cell>
          <cell r="C13">
            <v>159</v>
          </cell>
          <cell r="D13" t="str">
            <v>Bud fra SSI</v>
          </cell>
          <cell r="E13">
            <v>159</v>
          </cell>
        </row>
        <row r="14">
          <cell r="A14" t="str">
            <v>DG30A</v>
          </cell>
          <cell r="B14" t="str">
            <v>Medfødte stofskiftesygdomme</v>
          </cell>
          <cell r="C14">
            <v>7685</v>
          </cell>
          <cell r="D14" t="str">
            <v>Takst 2014 oprindeligt fra bud af RH</v>
          </cell>
          <cell r="E14">
            <v>7677</v>
          </cell>
        </row>
        <row r="15">
          <cell r="A15" t="str">
            <v>DG30B</v>
          </cell>
          <cell r="B15" t="str">
            <v>Kraniofaciale misdannelser</v>
          </cell>
          <cell r="C15">
            <v>7110</v>
          </cell>
          <cell r="D15" t="str">
            <v>Takst 2014 oprindeligt fra bud af RH</v>
          </cell>
          <cell r="E15">
            <v>7102</v>
          </cell>
        </row>
        <row r="16">
          <cell r="A16" t="str">
            <v>DG30C</v>
          </cell>
          <cell r="B16" t="str">
            <v>Pubertetsforstyrrelser, komplicerede</v>
          </cell>
          <cell r="C16">
            <v>1191</v>
          </cell>
          <cell r="D16" t="str">
            <v>Takst 2014</v>
          </cell>
          <cell r="E16">
            <v>1190</v>
          </cell>
        </row>
        <row r="17">
          <cell r="A17" t="str">
            <v>DG30D</v>
          </cell>
          <cell r="B17" t="str">
            <v>Sjældne handikap</v>
          </cell>
          <cell r="C17">
            <v>2022</v>
          </cell>
          <cell r="D17" t="str">
            <v>Takst 2014</v>
          </cell>
          <cell r="E17">
            <v>2020</v>
          </cell>
        </row>
        <row r="18">
          <cell r="A18" t="str">
            <v>DG30E</v>
          </cell>
          <cell r="B18" t="str">
            <v>Vækstforstyrrelser, komplicerede</v>
          </cell>
          <cell r="C18">
            <v>4783</v>
          </cell>
          <cell r="D18" t="str">
            <v>Takst 2014</v>
          </cell>
          <cell r="E18">
            <v>4778</v>
          </cell>
        </row>
        <row r="19">
          <cell r="A19" t="str">
            <v>DG30F</v>
          </cell>
          <cell r="B19" t="str">
            <v>Endokrinologi, sjældne sygdomme</v>
          </cell>
          <cell r="C19">
            <v>2783</v>
          </cell>
          <cell r="D19" t="str">
            <v>Takst 2014</v>
          </cell>
          <cell r="E19">
            <v>2780</v>
          </cell>
        </row>
        <row r="20">
          <cell r="A20" t="str">
            <v>DG30G</v>
          </cell>
          <cell r="B20" t="str">
            <v>Endokrinologi</v>
          </cell>
          <cell r="C20">
            <v>671</v>
          </cell>
          <cell r="D20">
            <v>0</v>
          </cell>
          <cell r="E20">
            <v>670</v>
          </cell>
        </row>
        <row r="21">
          <cell r="A21" t="str">
            <v>DG30H</v>
          </cell>
          <cell r="B21" t="str">
            <v>Respirationsinsufficiens, kronisk</v>
          </cell>
          <cell r="C21">
            <v>2910</v>
          </cell>
          <cell r="D21">
            <v>0</v>
          </cell>
          <cell r="E21">
            <v>2907</v>
          </cell>
        </row>
        <row r="22">
          <cell r="A22" t="str">
            <v>DG30I</v>
          </cell>
          <cell r="B22" t="str">
            <v>Palliativ indsats, specialiseret</v>
          </cell>
          <cell r="C22">
            <v>3008</v>
          </cell>
          <cell r="D22">
            <v>0</v>
          </cell>
          <cell r="E22">
            <v>3005</v>
          </cell>
        </row>
        <row r="23">
          <cell r="A23" t="str">
            <v>DG30J</v>
          </cell>
          <cell r="B23" t="str">
            <v>HIV-infektion</v>
          </cell>
          <cell r="C23">
            <v>2759</v>
          </cell>
          <cell r="D23">
            <v>0</v>
          </cell>
          <cell r="E23">
            <v>2756</v>
          </cell>
        </row>
        <row r="24">
          <cell r="A24" t="str">
            <v>DG30K</v>
          </cell>
          <cell r="B24" t="str">
            <v>Tilstand med transplanteret væv - hæmatologi</v>
          </cell>
          <cell r="C24">
            <v>2042</v>
          </cell>
          <cell r="D24">
            <v>0</v>
          </cell>
          <cell r="E24">
            <v>2040</v>
          </cell>
        </row>
        <row r="25">
          <cell r="A25" t="str">
            <v>DG30L</v>
          </cell>
          <cell r="B25" t="str">
            <v>Cancer</v>
          </cell>
          <cell r="C25">
            <v>1053</v>
          </cell>
          <cell r="D25">
            <v>0</v>
          </cell>
          <cell r="E25">
            <v>1052</v>
          </cell>
        </row>
        <row r="26">
          <cell r="A26" t="str">
            <v>DG30M</v>
          </cell>
          <cell r="B26" t="str">
            <v>Neurologi</v>
          </cell>
          <cell r="C26">
            <v>1413</v>
          </cell>
          <cell r="D26">
            <v>0</v>
          </cell>
          <cell r="E26">
            <v>1411</v>
          </cell>
        </row>
        <row r="27">
          <cell r="A27" t="str">
            <v>DG30N</v>
          </cell>
          <cell r="B27" t="str">
            <v>Spiseforstyrrelser</v>
          </cell>
          <cell r="C27">
            <v>618</v>
          </cell>
          <cell r="D27">
            <v>0</v>
          </cell>
          <cell r="E27">
            <v>617</v>
          </cell>
        </row>
        <row r="28">
          <cell r="A28" t="str">
            <v>DG30O</v>
          </cell>
          <cell r="B28" t="str">
            <v>Alkohol- og stofmisbrug</v>
          </cell>
          <cell r="C28">
            <v>958</v>
          </cell>
          <cell r="D28">
            <v>0</v>
          </cell>
          <cell r="E28">
            <v>957</v>
          </cell>
        </row>
        <row r="29">
          <cell r="A29" t="str">
            <v>DG30P</v>
          </cell>
          <cell r="B29" t="str">
            <v>Somatoforme tilstande</v>
          </cell>
          <cell r="C29">
            <v>1145</v>
          </cell>
          <cell r="D29">
            <v>0</v>
          </cell>
          <cell r="E29">
            <v>1144</v>
          </cell>
        </row>
        <row r="30">
          <cell r="A30" t="str">
            <v>DG30Q</v>
          </cell>
          <cell r="B30" t="str">
            <v>Ryglidelser, komplicerede</v>
          </cell>
          <cell r="C30">
            <v>1969</v>
          </cell>
          <cell r="D30">
            <v>0</v>
          </cell>
          <cell r="E30">
            <v>1967</v>
          </cell>
        </row>
        <row r="31">
          <cell r="A31" t="str">
            <v>DG30R</v>
          </cell>
          <cell r="B31" t="str">
            <v>Reumatologi</v>
          </cell>
          <cell r="C31">
            <v>1000</v>
          </cell>
          <cell r="D31">
            <v>0</v>
          </cell>
          <cell r="E31">
            <v>999</v>
          </cell>
        </row>
        <row r="32">
          <cell r="A32" t="str">
            <v>DG30S</v>
          </cell>
          <cell r="B32" t="str">
            <v>Audiologi</v>
          </cell>
          <cell r="C32">
            <v>160</v>
          </cell>
          <cell r="D32">
            <v>0</v>
          </cell>
          <cell r="E32">
            <v>160</v>
          </cell>
        </row>
        <row r="33">
          <cell r="A33" t="str">
            <v>DG30T</v>
          </cell>
          <cell r="B33" t="str">
            <v>Smertetilstande, kroniske, komplicerede</v>
          </cell>
          <cell r="C33">
            <v>1319</v>
          </cell>
          <cell r="D33" t="str">
            <v>Takst 2014</v>
          </cell>
          <cell r="E33">
            <v>1318</v>
          </cell>
        </row>
        <row r="34">
          <cell r="A34" t="str">
            <v>DG30U</v>
          </cell>
          <cell r="B34" t="str">
            <v>Smertetilstande, kroniske, ukomplicerede</v>
          </cell>
          <cell r="C34">
            <v>925</v>
          </cell>
          <cell r="D34" t="str">
            <v>Takst 2014</v>
          </cell>
          <cell r="E34">
            <v>924</v>
          </cell>
        </row>
        <row r="35">
          <cell r="A35" t="str">
            <v>PG01A</v>
          </cell>
          <cell r="B35" t="str">
            <v>Plastikkirurgisk rekonstruktion</v>
          </cell>
          <cell r="C35">
            <v>16254</v>
          </cell>
          <cell r="D35">
            <v>0</v>
          </cell>
          <cell r="E35">
            <v>16237</v>
          </cell>
        </row>
        <row r="36">
          <cell r="A36" t="str">
            <v>PG01B</v>
          </cell>
          <cell r="B36" t="str">
            <v>Hudoperation, kompliceret</v>
          </cell>
          <cell r="C36">
            <v>5172</v>
          </cell>
          <cell r="D36">
            <v>0</v>
          </cell>
          <cell r="E36">
            <v>5166</v>
          </cell>
        </row>
        <row r="37">
          <cell r="A37" t="str">
            <v>PG01C</v>
          </cell>
          <cell r="B37" t="str">
            <v>Hudoperation, ukompliceret</v>
          </cell>
          <cell r="C37">
            <v>1335</v>
          </cell>
          <cell r="D37">
            <v>0</v>
          </cell>
          <cell r="E37">
            <v>1334</v>
          </cell>
        </row>
        <row r="38">
          <cell r="A38" t="str">
            <v>PG01D</v>
          </cell>
          <cell r="B38" t="str">
            <v>Biopsi og væskeudsugning, overfladisk</v>
          </cell>
          <cell r="C38">
            <v>2770</v>
          </cell>
          <cell r="D38">
            <v>0</v>
          </cell>
          <cell r="E38">
            <v>2767</v>
          </cell>
        </row>
        <row r="39">
          <cell r="A39" t="str">
            <v>PG01E</v>
          </cell>
          <cell r="B39" t="str">
            <v>MR-vejledt nålebiopsi</v>
          </cell>
          <cell r="C39">
            <v>6113</v>
          </cell>
          <cell r="D39" t="str">
            <v>Bud fra SSI ud fra PG01K og PG14C</v>
          </cell>
          <cell r="E39">
            <v>6106</v>
          </cell>
        </row>
        <row r="40">
          <cell r="A40" t="str">
            <v>PG01F</v>
          </cell>
          <cell r="B40" t="str">
            <v>Stereotaktisk anlæggelse af coil i mamma</v>
          </cell>
          <cell r="C40">
            <v>6140</v>
          </cell>
          <cell r="D40" t="str">
            <v>Bud fra SSI og Mammaradiologi selskab</v>
          </cell>
          <cell r="E40">
            <v>6133</v>
          </cell>
        </row>
        <row r="41">
          <cell r="A41" t="str">
            <v>PG01G</v>
          </cell>
          <cell r="B41" t="str">
            <v>Ultralydsvejledt anlæggelse af coil i mamma</v>
          </cell>
          <cell r="C41">
            <v>2285</v>
          </cell>
          <cell r="D41" t="str">
            <v>Bud fra SSI og Mammaradiologi selskab</v>
          </cell>
          <cell r="E41">
            <v>2283</v>
          </cell>
        </row>
        <row r="42">
          <cell r="A42" t="str">
            <v>PG01H</v>
          </cell>
          <cell r="B42" t="str">
            <v>Stereotaktisk grovnålsbiopsi af bryst</v>
          </cell>
          <cell r="C42">
            <v>1987</v>
          </cell>
          <cell r="D42" t="str">
            <v>Bud fra SSI og Mammaradiologi selskab</v>
          </cell>
          <cell r="E42">
            <v>1985</v>
          </cell>
        </row>
        <row r="43">
          <cell r="A43" t="str">
            <v>PG01I</v>
          </cell>
          <cell r="B43" t="str">
            <v>Stereotaktisk vakuum-grovnålsbiopsi af bryst</v>
          </cell>
          <cell r="C43">
            <v>4769</v>
          </cell>
          <cell r="D43" t="str">
            <v>Bud fra SSI og Mammaradiologi selskab</v>
          </cell>
          <cell r="E43">
            <v>4764</v>
          </cell>
        </row>
        <row r="44">
          <cell r="A44" t="str">
            <v>PG01J</v>
          </cell>
          <cell r="B44" t="str">
            <v>Nålebiopsi med ultralyd, overfladisk</v>
          </cell>
          <cell r="C44">
            <v>3170</v>
          </cell>
          <cell r="D44">
            <v>0</v>
          </cell>
          <cell r="E44">
            <v>3167</v>
          </cell>
        </row>
        <row r="45">
          <cell r="A45" t="str">
            <v>PG01K</v>
          </cell>
          <cell r="B45" t="str">
            <v>Nålebiopsi uden ultralyd, overfladisk</v>
          </cell>
          <cell r="C45">
            <v>2525</v>
          </cell>
          <cell r="D45">
            <v>0</v>
          </cell>
          <cell r="E45">
            <v>2522</v>
          </cell>
        </row>
        <row r="46">
          <cell r="A46" t="str">
            <v>PG01L</v>
          </cell>
          <cell r="B46" t="str">
            <v>Sutur og sårbehandling</v>
          </cell>
          <cell r="C46">
            <v>3832</v>
          </cell>
          <cell r="D46">
            <v>0</v>
          </cell>
          <cell r="E46">
            <v>3828</v>
          </cell>
        </row>
        <row r="47">
          <cell r="A47" t="str">
            <v>PG01M</v>
          </cell>
          <cell r="B47" t="str">
            <v>Excision og biopsi, ukompliceret</v>
          </cell>
          <cell r="C47">
            <v>2144</v>
          </cell>
          <cell r="D47" t="str">
            <v>Takst 2014</v>
          </cell>
          <cell r="E47">
            <v>2142</v>
          </cell>
        </row>
        <row r="48">
          <cell r="A48" t="str">
            <v>PG01N</v>
          </cell>
          <cell r="B48" t="str">
            <v>Incision og punktur</v>
          </cell>
          <cell r="C48">
            <v>1589</v>
          </cell>
          <cell r="D48">
            <v>0</v>
          </cell>
          <cell r="E48">
            <v>1587</v>
          </cell>
        </row>
        <row r="49">
          <cell r="A49" t="str">
            <v>PG01O</v>
          </cell>
          <cell r="B49" t="str">
            <v>Dermatologisk procedure</v>
          </cell>
          <cell r="C49">
            <v>1594</v>
          </cell>
          <cell r="D49">
            <v>0</v>
          </cell>
          <cell r="E49">
            <v>1592</v>
          </cell>
        </row>
        <row r="50">
          <cell r="A50" t="str">
            <v>PG02A</v>
          </cell>
          <cell r="B50" t="str">
            <v>Anlæggelse af skinne, individuelt fremstillet bandage</v>
          </cell>
          <cell r="C50">
            <v>25607</v>
          </cell>
          <cell r="D50" t="str">
            <v>Takst 2014 oprindeligt fra bud af det kliniske selskab</v>
          </cell>
          <cell r="E50">
            <v>25580</v>
          </cell>
        </row>
        <row r="51">
          <cell r="A51" t="str">
            <v>PG02B</v>
          </cell>
          <cell r="B51" t="str">
            <v>Anlæggelse af skinne el. bandage, arthrocentese el. lukket reposition</v>
          </cell>
          <cell r="C51">
            <v>1678</v>
          </cell>
          <cell r="D51" t="str">
            <v>Takst 2014 oprindeligt fra bud af det kliniske selskab</v>
          </cell>
          <cell r="E51">
            <v>1676</v>
          </cell>
        </row>
        <row r="52">
          <cell r="A52" t="str">
            <v>PG02C</v>
          </cell>
          <cell r="B52" t="str">
            <v>Procedure i muskel el. skelet, kompliceret</v>
          </cell>
          <cell r="C52">
            <v>8720</v>
          </cell>
          <cell r="D52">
            <v>0</v>
          </cell>
          <cell r="E52">
            <v>8711</v>
          </cell>
        </row>
        <row r="53">
          <cell r="A53" t="str">
            <v>PG02D</v>
          </cell>
          <cell r="B53" t="str">
            <v>Procedure i muskel el. skelet, ukompliceret</v>
          </cell>
          <cell r="C53">
            <v>4528</v>
          </cell>
          <cell r="D53">
            <v>0</v>
          </cell>
          <cell r="E53">
            <v>4523</v>
          </cell>
        </row>
        <row r="54">
          <cell r="A54" t="str">
            <v>PG02E</v>
          </cell>
          <cell r="B54" t="str">
            <v>Bevægelseslaboratorieundersøgelse</v>
          </cell>
          <cell r="C54">
            <v>494</v>
          </cell>
          <cell r="D54">
            <v>0</v>
          </cell>
          <cell r="E54">
            <v>493</v>
          </cell>
        </row>
        <row r="55">
          <cell r="A55" t="str">
            <v>PG03A</v>
          </cell>
          <cell r="B55" t="str">
            <v>Luftvejsendoskopi, kompliceret</v>
          </cell>
          <cell r="C55">
            <v>8827</v>
          </cell>
          <cell r="D55">
            <v>0</v>
          </cell>
          <cell r="E55">
            <v>8818</v>
          </cell>
        </row>
        <row r="56">
          <cell r="A56" t="str">
            <v>PG03B</v>
          </cell>
          <cell r="B56" t="str">
            <v>Væskeudtømmelse fra pleura</v>
          </cell>
          <cell r="C56">
            <v>2586</v>
          </cell>
          <cell r="D56">
            <v>0</v>
          </cell>
          <cell r="E56">
            <v>2583</v>
          </cell>
        </row>
        <row r="57">
          <cell r="A57" t="str">
            <v>PG03C</v>
          </cell>
          <cell r="B57" t="str">
            <v>Hyberbar iltbehandling</v>
          </cell>
          <cell r="C57">
            <v>2547</v>
          </cell>
          <cell r="D57">
            <v>0</v>
          </cell>
          <cell r="E57">
            <v>2544</v>
          </cell>
        </row>
        <row r="58">
          <cell r="A58" t="str">
            <v>PG04A</v>
          </cell>
          <cell r="B58" t="str">
            <v>Operation på kar el. lymfesystem</v>
          </cell>
          <cell r="C58">
            <v>2929</v>
          </cell>
          <cell r="D58">
            <v>0</v>
          </cell>
          <cell r="E58">
            <v>2926</v>
          </cell>
        </row>
        <row r="59">
          <cell r="A59" t="str">
            <v>PG04B</v>
          </cell>
          <cell r="B59" t="str">
            <v>Nålebiopsi på kar el. lymfesystem med ultralyd</v>
          </cell>
          <cell r="C59">
            <v>3627</v>
          </cell>
          <cell r="D59" t="str">
            <v>Bud fra SSI ud fra PG04C og PG14K</v>
          </cell>
          <cell r="E59">
            <v>3623</v>
          </cell>
        </row>
        <row r="60">
          <cell r="A60" t="str">
            <v>PG04C</v>
          </cell>
          <cell r="B60" t="str">
            <v>Nålebiopsi på kar el. lymfesystem uden ultralyd</v>
          </cell>
          <cell r="C60">
            <v>2984</v>
          </cell>
          <cell r="D60" t="str">
            <v>Takst 2014</v>
          </cell>
          <cell r="E60">
            <v>2981</v>
          </cell>
        </row>
        <row r="61">
          <cell r="A61" t="str">
            <v>PG04D</v>
          </cell>
          <cell r="B61" t="str">
            <v>Udskiftning af cardioverter-defibrillator (ICD)</v>
          </cell>
          <cell r="C61">
            <v>101234</v>
          </cell>
          <cell r="D61" t="str">
            <v>Takst 2014</v>
          </cell>
          <cell r="E61">
            <v>101125</v>
          </cell>
        </row>
        <row r="62">
          <cell r="A62" t="str">
            <v>PG04E</v>
          </cell>
          <cell r="B62" t="str">
            <v>Kardiologisk proceduregruppe A-C</v>
          </cell>
          <cell r="C62">
            <v>2587</v>
          </cell>
          <cell r="D62">
            <v>0</v>
          </cell>
          <cell r="E62">
            <v>2584</v>
          </cell>
        </row>
        <row r="63">
          <cell r="A63" t="str">
            <v>PG04F</v>
          </cell>
          <cell r="B63" t="str">
            <v>Kardiologisk undersøgelse, kompliceret</v>
          </cell>
          <cell r="C63">
            <v>1789</v>
          </cell>
          <cell r="D63">
            <v>0</v>
          </cell>
          <cell r="E63">
            <v>1787</v>
          </cell>
        </row>
        <row r="64">
          <cell r="A64" t="str">
            <v>PG04G</v>
          </cell>
          <cell r="B64" t="str">
            <v>Kardiologisk undersøgelse, udvidet</v>
          </cell>
          <cell r="C64">
            <v>1369</v>
          </cell>
          <cell r="D64">
            <v>0</v>
          </cell>
          <cell r="E64">
            <v>1368</v>
          </cell>
        </row>
        <row r="65">
          <cell r="A65" t="str">
            <v>PG04H</v>
          </cell>
          <cell r="B65" t="str">
            <v>Kardiologisk undersøgelse, almindelig</v>
          </cell>
          <cell r="C65">
            <v>1365</v>
          </cell>
          <cell r="D65">
            <v>0</v>
          </cell>
          <cell r="E65">
            <v>1364</v>
          </cell>
        </row>
        <row r="66">
          <cell r="A66" t="str">
            <v>PG05A</v>
          </cell>
          <cell r="B66" t="str">
            <v>Indsættelse af metalstents og kapselenteroskopi</v>
          </cell>
          <cell r="C66">
            <v>5123</v>
          </cell>
          <cell r="D66">
            <v>0</v>
          </cell>
          <cell r="E66">
            <v>5118</v>
          </cell>
        </row>
        <row r="67">
          <cell r="A67" t="str">
            <v>PG05B</v>
          </cell>
          <cell r="B67" t="str">
            <v>Koloskopi, sigmoidoskopi, ERCP el. endoskopi i nedre mavetarmregion, kompliceret</v>
          </cell>
          <cell r="C67">
            <v>6262</v>
          </cell>
          <cell r="D67">
            <v>0</v>
          </cell>
          <cell r="E67">
            <v>6255</v>
          </cell>
        </row>
        <row r="68">
          <cell r="A68" t="str">
            <v>PG05C</v>
          </cell>
          <cell r="B68" t="str">
            <v>Koloskopi, sigmoidoskopi el. endoskopi i nedre mavetarmregion, ukompliceret</v>
          </cell>
          <cell r="C68">
            <v>4413</v>
          </cell>
          <cell r="D68">
            <v>0</v>
          </cell>
          <cell r="E68">
            <v>4408</v>
          </cell>
        </row>
        <row r="69">
          <cell r="A69" t="str">
            <v>PG05D</v>
          </cell>
          <cell r="B69" t="str">
            <v>Brokoperation</v>
          </cell>
          <cell r="C69">
            <v>7113</v>
          </cell>
          <cell r="D69">
            <v>0</v>
          </cell>
          <cell r="E69">
            <v>7105</v>
          </cell>
        </row>
        <row r="70">
          <cell r="A70" t="str">
            <v>PG05E</v>
          </cell>
          <cell r="B70" t="str">
            <v>Operation i anus el. rectum</v>
          </cell>
          <cell r="C70">
            <v>5747</v>
          </cell>
          <cell r="D70">
            <v>0</v>
          </cell>
          <cell r="E70">
            <v>5741</v>
          </cell>
        </row>
        <row r="71">
          <cell r="A71" t="str">
            <v>PG05F</v>
          </cell>
          <cell r="B71" t="str">
            <v>Endoskopi el. intubation i øvre mavetarmreg.</v>
          </cell>
          <cell r="C71">
            <v>3490</v>
          </cell>
          <cell r="D71">
            <v>0</v>
          </cell>
          <cell r="E71">
            <v>3486</v>
          </cell>
        </row>
        <row r="72">
          <cell r="A72" t="str">
            <v>PG05G</v>
          </cell>
          <cell r="B72" t="str">
            <v>Rektoskopi</v>
          </cell>
          <cell r="C72">
            <v>2335</v>
          </cell>
          <cell r="D72">
            <v>0</v>
          </cell>
          <cell r="E72">
            <v>2332</v>
          </cell>
        </row>
        <row r="73">
          <cell r="A73" t="str">
            <v>PG06A</v>
          </cell>
          <cell r="B73" t="str">
            <v>Forberedelse til nyretransplantation, plasmaferese med immunadsorption</v>
          </cell>
          <cell r="C73">
            <v>32160</v>
          </cell>
          <cell r="D73" t="str">
            <v>Takst 2014 oprindeligt fra bud af det kliniske selskab</v>
          </cell>
          <cell r="E73">
            <v>32126</v>
          </cell>
        </row>
        <row r="74">
          <cell r="A74" t="str">
            <v>PG06B</v>
          </cell>
          <cell r="B74" t="str">
            <v>Cystoskopi, kompliceret, el. urinrørsoperationer el. punktur af prostata</v>
          </cell>
          <cell r="C74">
            <v>6010</v>
          </cell>
          <cell r="D74">
            <v>0</v>
          </cell>
          <cell r="E74">
            <v>6004</v>
          </cell>
        </row>
        <row r="75">
          <cell r="A75" t="str">
            <v>PG06C</v>
          </cell>
          <cell r="B75" t="str">
            <v>Cystoskopi, ukompliceret el. mindre urologisk operation</v>
          </cell>
          <cell r="C75">
            <v>2868</v>
          </cell>
          <cell r="D75">
            <v>0</v>
          </cell>
          <cell r="E75">
            <v>2865</v>
          </cell>
        </row>
        <row r="76">
          <cell r="A76" t="str">
            <v>PG06D</v>
          </cell>
          <cell r="B76" t="str">
            <v>Stenknusning ved trykbølge (ESWL)</v>
          </cell>
          <cell r="C76">
            <v>6072</v>
          </cell>
          <cell r="D76">
            <v>0</v>
          </cell>
          <cell r="E76">
            <v>6065</v>
          </cell>
        </row>
        <row r="77">
          <cell r="A77" t="str">
            <v>PG06E</v>
          </cell>
          <cell r="B77" t="str">
            <v>Instillation af cytostatikum i blæren</v>
          </cell>
          <cell r="C77">
            <v>916</v>
          </cell>
          <cell r="D77">
            <v>0</v>
          </cell>
          <cell r="E77">
            <v>915</v>
          </cell>
        </row>
        <row r="78">
          <cell r="A78" t="str">
            <v>PG06F</v>
          </cell>
          <cell r="B78" t="str">
            <v>Indlæggelse af kateter el. anden ukompliceret procedure i urinveje</v>
          </cell>
          <cell r="C78">
            <v>930</v>
          </cell>
          <cell r="D78">
            <v>0</v>
          </cell>
          <cell r="E78">
            <v>929</v>
          </cell>
        </row>
        <row r="79">
          <cell r="A79" t="str">
            <v>PG07A</v>
          </cell>
          <cell r="B79" t="str">
            <v>Sædoprensning</v>
          </cell>
          <cell r="C79">
            <v>44202</v>
          </cell>
          <cell r="D79" t="str">
            <v>Takst 2014</v>
          </cell>
          <cell r="E79">
            <v>44155</v>
          </cell>
        </row>
        <row r="80">
          <cell r="A80" t="str">
            <v>PG07B</v>
          </cell>
          <cell r="B80" t="str">
            <v>Sterilisation el. anden operation på mandlige kønsorganer</v>
          </cell>
          <cell r="C80">
            <v>5917</v>
          </cell>
          <cell r="D80">
            <v>0</v>
          </cell>
          <cell r="E80">
            <v>5911</v>
          </cell>
        </row>
        <row r="81">
          <cell r="A81" t="str">
            <v>PG07C</v>
          </cell>
          <cell r="B81" t="str">
            <v>Andrologisk og hypogonadisme udredning, komplet</v>
          </cell>
          <cell r="C81">
            <v>1001</v>
          </cell>
          <cell r="D81">
            <v>0</v>
          </cell>
          <cell r="E81">
            <v>1000</v>
          </cell>
        </row>
        <row r="82">
          <cell r="A82" t="str">
            <v>PG07D</v>
          </cell>
          <cell r="B82" t="str">
            <v>Gynækomastisk udredning, pat. mindst 15 år</v>
          </cell>
          <cell r="C82">
            <v>696</v>
          </cell>
          <cell r="D82">
            <v>0</v>
          </cell>
          <cell r="E82">
            <v>695</v>
          </cell>
        </row>
        <row r="83">
          <cell r="A83" t="str">
            <v>PG08A</v>
          </cell>
          <cell r="B83" t="str">
            <v>Kunstig befrugtning med anvendelse af PGD på fosterceller med vævstypebestemmelse</v>
          </cell>
          <cell r="C83">
            <v>84077</v>
          </cell>
          <cell r="D83" t="str">
            <v>Takst 2014 oprindeligt fra omk. studie på RH</v>
          </cell>
          <cell r="E83">
            <v>83987</v>
          </cell>
        </row>
        <row r="84">
          <cell r="A84" t="str">
            <v>PG08B</v>
          </cell>
          <cell r="B84" t="str">
            <v>Kunstig befrugtning med anvendelse af PGD på fosterceller</v>
          </cell>
          <cell r="C84">
            <v>23860</v>
          </cell>
          <cell r="D84" t="str">
            <v>Takst 2014 oprindeligt fra omk. studie på RH</v>
          </cell>
          <cell r="E84">
            <v>23834</v>
          </cell>
        </row>
        <row r="85">
          <cell r="A85" t="str">
            <v>PG08C</v>
          </cell>
          <cell r="B85" t="str">
            <v>Kunstig befrugtning ved IVF/ICSI ved kompliceret infektion</v>
          </cell>
          <cell r="C85">
            <v>22548</v>
          </cell>
          <cell r="D85" t="str">
            <v>Takst 2014</v>
          </cell>
          <cell r="E85">
            <v>22524</v>
          </cell>
        </row>
        <row r="86">
          <cell r="A86" t="str">
            <v>PG08D</v>
          </cell>
          <cell r="B86" t="str">
            <v>Kunstig befrugtning ved IVF/ICSI, ægudtagning el. ægoplægning</v>
          </cell>
          <cell r="C86">
            <v>2771</v>
          </cell>
          <cell r="D86" t="str">
            <v>Takst 2014 oprindeligt fra et ABC-studie</v>
          </cell>
          <cell r="E86">
            <v>2768</v>
          </cell>
        </row>
        <row r="87">
          <cell r="A87" t="str">
            <v>PG08E</v>
          </cell>
          <cell r="B87" t="str">
            <v>Fostervandsprøve el. moderkagebiopsi, flerfoldsgraviditet</v>
          </cell>
          <cell r="C87">
            <v>16916</v>
          </cell>
          <cell r="D87" t="str">
            <v>Sat til 2xPG08F</v>
          </cell>
          <cell r="E87">
            <v>16898</v>
          </cell>
        </row>
        <row r="88">
          <cell r="A88" t="str">
            <v>PG08F</v>
          </cell>
          <cell r="B88" t="str">
            <v>Fostervandsprøve el. moderkagebiopsi</v>
          </cell>
          <cell r="C88">
            <v>8458</v>
          </cell>
          <cell r="D88" t="str">
            <v>Takst 2014 oprindeligt fra bud fra Gentofte Hospital</v>
          </cell>
          <cell r="E88">
            <v>8449</v>
          </cell>
        </row>
        <row r="89">
          <cell r="A89" t="str">
            <v>PG08G</v>
          </cell>
          <cell r="B89" t="str">
            <v>Svangrekontrol, bariatrisk opereret kvinde</v>
          </cell>
          <cell r="C89">
            <v>864</v>
          </cell>
          <cell r="D89" t="str">
            <v>Takst 2014 Bud fra Jordemoderforeningen</v>
          </cell>
          <cell r="E89">
            <v>863</v>
          </cell>
        </row>
        <row r="90">
          <cell r="A90" t="str">
            <v>PG08H</v>
          </cell>
          <cell r="B90" t="str">
            <v>Jordemoderkonsultation, akut, graviditet</v>
          </cell>
          <cell r="C90">
            <v>984</v>
          </cell>
          <cell r="D90" t="str">
            <v>Takst 2014 Bud fra Jordemoderforeningen</v>
          </cell>
          <cell r="E90">
            <v>983</v>
          </cell>
        </row>
        <row r="91">
          <cell r="A91" t="str">
            <v>PG08I</v>
          </cell>
          <cell r="B91" t="str">
            <v>Jordemoderkonsultation, udvidet</v>
          </cell>
          <cell r="C91">
            <v>656</v>
          </cell>
          <cell r="D91" t="str">
            <v>Takst 2014 Bud fra Jordemoderforeningen</v>
          </cell>
          <cell r="E91">
            <v>655</v>
          </cell>
        </row>
        <row r="92">
          <cell r="A92" t="str">
            <v>PG08J</v>
          </cell>
          <cell r="B92" t="str">
            <v>Jordemoderkonsultation, basis</v>
          </cell>
          <cell r="C92">
            <v>328</v>
          </cell>
          <cell r="D92" t="str">
            <v>Takst 2014 Bud fra Jordemoderforeningen</v>
          </cell>
          <cell r="E92">
            <v>328</v>
          </cell>
        </row>
        <row r="93">
          <cell r="A93" t="str">
            <v>PG08K</v>
          </cell>
          <cell r="B93" t="str">
            <v>Særlige ydelser i forbindelse med graviditet incl. fødselsforberedelse</v>
          </cell>
          <cell r="C93">
            <v>328</v>
          </cell>
          <cell r="D93" t="str">
            <v>Takst 2014 Bud fra Jordemoderforeningen</v>
          </cell>
          <cell r="E93">
            <v>328</v>
          </cell>
        </row>
        <row r="94">
          <cell r="A94" t="str">
            <v>PG08L</v>
          </cell>
          <cell r="B94" t="str">
            <v>Opfølgning på kontakt med kvinde/barn i kombination med tværfaglig/tværsektoriel indsats</v>
          </cell>
          <cell r="C94">
            <v>2365</v>
          </cell>
          <cell r="D94" t="str">
            <v>Bud fra SSI</v>
          </cell>
          <cell r="E94">
            <v>2362</v>
          </cell>
        </row>
        <row r="95">
          <cell r="A95" t="str">
            <v>PG08M</v>
          </cell>
          <cell r="B95" t="str">
            <v>Særligt ressourcekrævende svangrekontrol ved rusmiddelproblematik</v>
          </cell>
          <cell r="C95">
            <v>2927</v>
          </cell>
          <cell r="D95" t="str">
            <v>Bud fra SSI</v>
          </cell>
          <cell r="E95">
            <v>2924</v>
          </cell>
        </row>
        <row r="96">
          <cell r="A96" t="str">
            <v>PG09A</v>
          </cell>
          <cell r="B96" t="str">
            <v>Fjernelse el. behandling af nerve</v>
          </cell>
          <cell r="C96">
            <v>8131</v>
          </cell>
          <cell r="D96">
            <v>0</v>
          </cell>
          <cell r="E96">
            <v>8122</v>
          </cell>
        </row>
        <row r="97">
          <cell r="A97" t="str">
            <v>PG09B</v>
          </cell>
          <cell r="B97" t="str">
            <v>Neurorehabilitering og rygmarvsskader</v>
          </cell>
          <cell r="C97">
            <v>3703</v>
          </cell>
          <cell r="D97">
            <v>0</v>
          </cell>
          <cell r="E97">
            <v>3699</v>
          </cell>
        </row>
        <row r="98">
          <cell r="A98" t="str">
            <v>PG09C</v>
          </cell>
          <cell r="B98" t="str">
            <v>Kontrol af medicinpumpe</v>
          </cell>
          <cell r="C98">
            <v>2023</v>
          </cell>
          <cell r="D98">
            <v>0</v>
          </cell>
          <cell r="E98">
            <v>2021</v>
          </cell>
        </row>
        <row r="99">
          <cell r="A99" t="str">
            <v>PG10A</v>
          </cell>
          <cell r="B99" t="str">
            <v>Procedure på kæbe</v>
          </cell>
          <cell r="C99">
            <v>8318</v>
          </cell>
          <cell r="D99">
            <v>0</v>
          </cell>
          <cell r="E99">
            <v>8309</v>
          </cell>
        </row>
        <row r="100">
          <cell r="A100" t="str">
            <v>PG10B</v>
          </cell>
          <cell r="B100" t="str">
            <v>Påsætning af kunstig ansigtsdel</v>
          </cell>
          <cell r="C100">
            <v>9574</v>
          </cell>
          <cell r="D100" t="str">
            <v>Takst 2014 oprindeligt fra bud af det kliniske selskab</v>
          </cell>
          <cell r="E100">
            <v>9564</v>
          </cell>
        </row>
        <row r="101">
          <cell r="A101" t="str">
            <v>PG10C</v>
          </cell>
          <cell r="B101" t="str">
            <v>Tandbehandling, svær</v>
          </cell>
          <cell r="C101">
            <v>3066</v>
          </cell>
          <cell r="D101">
            <v>0</v>
          </cell>
          <cell r="E101">
            <v>3063</v>
          </cell>
        </row>
        <row r="102">
          <cell r="A102" t="str">
            <v>PG10D</v>
          </cell>
          <cell r="B102" t="str">
            <v>Tandbehandling, middel</v>
          </cell>
          <cell r="C102">
            <v>5109</v>
          </cell>
          <cell r="D102" t="str">
            <v>Taksten er sat på baggrund af niveauet for PG10C</v>
          </cell>
          <cell r="E102">
            <v>5104</v>
          </cell>
        </row>
        <row r="103">
          <cell r="A103" t="str">
            <v>PG10E</v>
          </cell>
          <cell r="B103" t="str">
            <v>Tandbehandling, let</v>
          </cell>
          <cell r="C103">
            <v>1997</v>
          </cell>
          <cell r="D103" t="str">
            <v>Taksten er sat på baggrund af niveauet for PG10C</v>
          </cell>
          <cell r="E103">
            <v>1995</v>
          </cell>
        </row>
        <row r="104">
          <cell r="A104" t="str">
            <v>PG10F</v>
          </cell>
          <cell r="B104" t="str">
            <v>Procedure på øre, næse el. hals, kompliceret</v>
          </cell>
          <cell r="C104">
            <v>3033</v>
          </cell>
          <cell r="D104">
            <v>0</v>
          </cell>
          <cell r="E104">
            <v>3030</v>
          </cell>
        </row>
        <row r="105">
          <cell r="A105" t="str">
            <v>PG10G</v>
          </cell>
          <cell r="B105" t="str">
            <v>Procedure på øre, næse el. hals, ukompliceret</v>
          </cell>
          <cell r="C105">
            <v>1384</v>
          </cell>
          <cell r="D105">
            <v>0</v>
          </cell>
          <cell r="E105">
            <v>1383</v>
          </cell>
        </row>
        <row r="106">
          <cell r="A106" t="str">
            <v>PG10H</v>
          </cell>
          <cell r="B106" t="str">
            <v>Rhinoskopier</v>
          </cell>
          <cell r="C106">
            <v>3851</v>
          </cell>
          <cell r="D106">
            <v>0</v>
          </cell>
          <cell r="E106">
            <v>3847</v>
          </cell>
        </row>
        <row r="107">
          <cell r="A107" t="str">
            <v>PG10I</v>
          </cell>
          <cell r="B107" t="str">
            <v>Faryngoskopier</v>
          </cell>
          <cell r="C107">
            <v>3585</v>
          </cell>
          <cell r="D107">
            <v>0</v>
          </cell>
          <cell r="E107">
            <v>3581</v>
          </cell>
        </row>
        <row r="108">
          <cell r="A108" t="str">
            <v>PG10J</v>
          </cell>
          <cell r="B108" t="str">
            <v>Laryngoskopier</v>
          </cell>
          <cell r="C108">
            <v>1833</v>
          </cell>
          <cell r="D108">
            <v>0</v>
          </cell>
          <cell r="E108">
            <v>1831</v>
          </cell>
        </row>
        <row r="109">
          <cell r="A109" t="str">
            <v>PG10K</v>
          </cell>
          <cell r="B109" t="str">
            <v>Cochleart implantat</v>
          </cell>
          <cell r="C109">
            <v>2292</v>
          </cell>
          <cell r="D109" t="str">
            <v>Takst 2014</v>
          </cell>
          <cell r="E109">
            <v>2290</v>
          </cell>
        </row>
        <row r="110">
          <cell r="A110" t="str">
            <v>PG10L</v>
          </cell>
          <cell r="B110" t="str">
            <v>Audiologisk udredning, diagnostiske procedurer, pat. 0-2 år</v>
          </cell>
          <cell r="C110">
            <v>1662</v>
          </cell>
          <cell r="D110">
            <v>0</v>
          </cell>
          <cell r="E110">
            <v>1660</v>
          </cell>
        </row>
        <row r="111">
          <cell r="A111" t="str">
            <v>PG10M</v>
          </cell>
          <cell r="B111" t="str">
            <v>Audiologisk udredning, øvrige, pat. mindst 90 dage</v>
          </cell>
          <cell r="C111">
            <v>2344</v>
          </cell>
          <cell r="D111">
            <v>0</v>
          </cell>
          <cell r="E111">
            <v>2341</v>
          </cell>
        </row>
        <row r="112">
          <cell r="A112" t="str">
            <v>PG10N</v>
          </cell>
          <cell r="B112" t="str">
            <v>Audiometri</v>
          </cell>
          <cell r="C112">
            <v>1251</v>
          </cell>
          <cell r="D112">
            <v>0</v>
          </cell>
          <cell r="E112">
            <v>1250</v>
          </cell>
        </row>
        <row r="113">
          <cell r="A113" t="str">
            <v>PG10O</v>
          </cell>
          <cell r="B113" t="str">
            <v>Neonatal hørescreening, automatiserede procedurer, pat. 0-90 dage</v>
          </cell>
          <cell r="C113">
            <v>547</v>
          </cell>
          <cell r="D113">
            <v>0</v>
          </cell>
          <cell r="E113">
            <v>546</v>
          </cell>
        </row>
        <row r="114">
          <cell r="A114" t="str">
            <v>PG11A</v>
          </cell>
          <cell r="B114" t="str">
            <v>Medicin-behandling, grp. 1</v>
          </cell>
          <cell r="C114">
            <v>73006</v>
          </cell>
          <cell r="D114">
            <v>0</v>
          </cell>
          <cell r="E114">
            <v>72928</v>
          </cell>
        </row>
        <row r="115">
          <cell r="A115" t="str">
            <v>PG11B</v>
          </cell>
          <cell r="B115" t="str">
            <v>Medicin-behandling, grp. 2</v>
          </cell>
          <cell r="C115">
            <v>52627</v>
          </cell>
          <cell r="D115" t="str">
            <v>Takst 2014 oprindeligt fra bud af det kliniske selskab</v>
          </cell>
          <cell r="E115">
            <v>52571</v>
          </cell>
        </row>
        <row r="116">
          <cell r="A116" t="str">
            <v>PG11C</v>
          </cell>
          <cell r="B116" t="str">
            <v>Medicin-behandling, grp. 3</v>
          </cell>
          <cell r="C116">
            <v>31483</v>
          </cell>
          <cell r="D116" t="str">
            <v>Takst 2014 oprindeligt fra bud af det kliniske selskab</v>
          </cell>
          <cell r="E116">
            <v>31449</v>
          </cell>
        </row>
        <row r="117">
          <cell r="A117" t="str">
            <v>PG11D</v>
          </cell>
          <cell r="B117" t="str">
            <v>Medicin-behandling, grp. 4</v>
          </cell>
          <cell r="C117">
            <v>15553</v>
          </cell>
          <cell r="D117">
            <v>0</v>
          </cell>
          <cell r="E117">
            <v>15536</v>
          </cell>
        </row>
        <row r="118">
          <cell r="A118" t="str">
            <v>PG11E</v>
          </cell>
          <cell r="B118" t="str">
            <v>Medicin-behandling, grp. 5</v>
          </cell>
          <cell r="C118">
            <v>11747</v>
          </cell>
          <cell r="D118" t="str">
            <v>Takst 2014 oprindeligt fra bud af det kliniske selskab</v>
          </cell>
          <cell r="E118">
            <v>11734</v>
          </cell>
        </row>
        <row r="119">
          <cell r="A119" t="str">
            <v>PG11F</v>
          </cell>
          <cell r="B119" t="str">
            <v>Medicin-behandling, grp. 6</v>
          </cell>
          <cell r="C119">
            <v>7988</v>
          </cell>
          <cell r="D119" t="str">
            <v>Takst 2014 oprindeligt fra bud af det kliniske selskab</v>
          </cell>
          <cell r="E119">
            <v>7979</v>
          </cell>
        </row>
        <row r="120">
          <cell r="A120" t="str">
            <v>PG11G</v>
          </cell>
          <cell r="B120" t="str">
            <v>Medicin-behandling, grp. 7</v>
          </cell>
          <cell r="C120">
            <v>5237</v>
          </cell>
          <cell r="D120">
            <v>0</v>
          </cell>
          <cell r="E120">
            <v>5231</v>
          </cell>
        </row>
        <row r="121">
          <cell r="A121" t="str">
            <v>PG11H</v>
          </cell>
          <cell r="B121" t="str">
            <v>Medicin-behandling, grp. 8</v>
          </cell>
          <cell r="C121">
            <v>2731</v>
          </cell>
          <cell r="D121">
            <v>0</v>
          </cell>
          <cell r="E121">
            <v>2728</v>
          </cell>
        </row>
        <row r="122">
          <cell r="A122" t="str">
            <v>PG11I</v>
          </cell>
          <cell r="B122" t="str">
            <v>Medicin-behandling, grp. 9</v>
          </cell>
          <cell r="C122">
            <v>2838</v>
          </cell>
          <cell r="D122">
            <v>0</v>
          </cell>
          <cell r="E122">
            <v>2835</v>
          </cell>
        </row>
        <row r="123">
          <cell r="A123" t="str">
            <v>PG11J</v>
          </cell>
          <cell r="B123" t="str">
            <v>Medicin-behandling, grp. 10</v>
          </cell>
          <cell r="C123">
            <v>634</v>
          </cell>
          <cell r="D123" t="str">
            <v>Takst 2014 oprindeligt fra bud af det kliniske selskab</v>
          </cell>
          <cell r="E123">
            <v>633</v>
          </cell>
        </row>
        <row r="124">
          <cell r="A124" t="str">
            <v>PG12A</v>
          </cell>
          <cell r="B124" t="str">
            <v>Konditionering til minitransplantation</v>
          </cell>
          <cell r="C124">
            <v>23613</v>
          </cell>
          <cell r="D124" t="str">
            <v>Takst 2014</v>
          </cell>
          <cell r="E124">
            <v>23588</v>
          </cell>
        </row>
        <row r="125">
          <cell r="A125" t="str">
            <v>PG12B</v>
          </cell>
          <cell r="B125" t="str">
            <v>Antistof, behandling</v>
          </cell>
          <cell r="C125">
            <v>15206</v>
          </cell>
          <cell r="D125" t="str">
            <v>Sat pba. DRG2726</v>
          </cell>
          <cell r="E125">
            <v>15190</v>
          </cell>
        </row>
        <row r="126">
          <cell r="A126" t="str">
            <v>PG12C</v>
          </cell>
          <cell r="B126" t="str">
            <v>Brachyterapi</v>
          </cell>
          <cell r="C126">
            <v>31147</v>
          </cell>
          <cell r="D126" t="str">
            <v>Sat pba. DRG2711</v>
          </cell>
          <cell r="E126">
            <v>31114</v>
          </cell>
        </row>
        <row r="127">
          <cell r="A127" t="str">
            <v>PG12D</v>
          </cell>
          <cell r="B127" t="str">
            <v>Transfusion af plasma og/eller behandlet blod</v>
          </cell>
          <cell r="C127">
            <v>5061</v>
          </cell>
          <cell r="D127">
            <v>0</v>
          </cell>
          <cell r="E127">
            <v>5056</v>
          </cell>
        </row>
        <row r="128">
          <cell r="A128" t="str">
            <v>PG12E</v>
          </cell>
          <cell r="B128" t="str">
            <v>Transfusion af blod, øvrig</v>
          </cell>
          <cell r="C128">
            <v>2709</v>
          </cell>
          <cell r="D128">
            <v>0</v>
          </cell>
          <cell r="E128">
            <v>2706</v>
          </cell>
        </row>
        <row r="129">
          <cell r="A129" t="str">
            <v>PG12F</v>
          </cell>
          <cell r="B129" t="str">
            <v>Plasmaferese</v>
          </cell>
          <cell r="C129">
            <v>9262</v>
          </cell>
          <cell r="D129" t="str">
            <v>Takst 2014</v>
          </cell>
          <cell r="E129">
            <v>9252</v>
          </cell>
        </row>
        <row r="130">
          <cell r="A130" t="str">
            <v>PG12G</v>
          </cell>
          <cell r="B130" t="str">
            <v>Kontrol ved hjemme-hæmodialyse</v>
          </cell>
          <cell r="C130">
            <v>26595</v>
          </cell>
          <cell r="D130" t="str">
            <v>Takst 2014 oprindeligt fra bud af det kliniske selskab</v>
          </cell>
          <cell r="E130">
            <v>26566</v>
          </cell>
        </row>
        <row r="131">
          <cell r="A131" t="str">
            <v>PG12H</v>
          </cell>
          <cell r="B131" t="str">
            <v>Kontrol ved hjemme-peritonealdialyse</v>
          </cell>
          <cell r="C131">
            <v>25020</v>
          </cell>
          <cell r="D131" t="str">
            <v>Takst 2014 oprindeligt fra bud af det kliniske selskab</v>
          </cell>
          <cell r="E131">
            <v>24993</v>
          </cell>
        </row>
        <row r="132">
          <cell r="A132" t="str">
            <v>PG12I</v>
          </cell>
          <cell r="B132" t="str">
            <v>Peritonealdialyse, m. oplæring</v>
          </cell>
          <cell r="C132">
            <v>8167</v>
          </cell>
          <cell r="D132">
            <v>0</v>
          </cell>
          <cell r="E132">
            <v>8158</v>
          </cell>
        </row>
        <row r="133">
          <cell r="A133" t="str">
            <v>PG12J</v>
          </cell>
          <cell r="B133" t="str">
            <v>Peritonealdialyse</v>
          </cell>
          <cell r="C133">
            <v>1926</v>
          </cell>
          <cell r="D133">
            <v>0</v>
          </cell>
          <cell r="E133">
            <v>1924</v>
          </cell>
        </row>
        <row r="134">
          <cell r="A134" t="str">
            <v>PG12K</v>
          </cell>
          <cell r="B134" t="str">
            <v>Dialyse, øvrige</v>
          </cell>
          <cell r="C134">
            <v>2319</v>
          </cell>
          <cell r="D134">
            <v>0</v>
          </cell>
          <cell r="E134">
            <v>2317</v>
          </cell>
        </row>
        <row r="135">
          <cell r="A135" t="str">
            <v>PG12L</v>
          </cell>
          <cell r="B135" t="str">
            <v>Insulinpumpe, behandling</v>
          </cell>
          <cell r="C135">
            <v>5390</v>
          </cell>
          <cell r="D135">
            <v>0</v>
          </cell>
          <cell r="E135">
            <v>5384</v>
          </cell>
        </row>
        <row r="136">
          <cell r="A136" t="str">
            <v>PG12M</v>
          </cell>
          <cell r="B136" t="str">
            <v>Botulinumtoksin, injektion</v>
          </cell>
          <cell r="C136">
            <v>4894</v>
          </cell>
          <cell r="D136">
            <v>0</v>
          </cell>
          <cell r="E136">
            <v>4889</v>
          </cell>
        </row>
        <row r="137">
          <cell r="A137" t="str">
            <v>PG12N</v>
          </cell>
          <cell r="B137" t="str">
            <v>Immunmodulerende behandling</v>
          </cell>
          <cell r="C137">
            <v>5971</v>
          </cell>
          <cell r="D137" t="str">
            <v>Takst 2014 oprindeligt fra bud af det kliniske selskab</v>
          </cell>
          <cell r="E137">
            <v>5965</v>
          </cell>
        </row>
        <row r="138">
          <cell r="A138" t="str">
            <v>PG12O</v>
          </cell>
          <cell r="B138" t="str">
            <v>Udlevering af CPAP-apparatur</v>
          </cell>
          <cell r="C138">
            <v>4347</v>
          </cell>
          <cell r="D138" t="str">
            <v>Takst 2014 Bud fra bud det kliniske selskab</v>
          </cell>
          <cell r="E138">
            <v>4342</v>
          </cell>
        </row>
        <row r="139">
          <cell r="A139" t="str">
            <v>PG12P</v>
          </cell>
          <cell r="B139" t="str">
            <v>Kontrol eller justering af CPAP-behandling</v>
          </cell>
          <cell r="C139">
            <v>599</v>
          </cell>
          <cell r="D139">
            <v>0</v>
          </cell>
          <cell r="E139">
            <v>598</v>
          </cell>
        </row>
        <row r="140">
          <cell r="A140" t="str">
            <v>PG13A</v>
          </cell>
          <cell r="B140" t="str">
            <v>Udtagning af knoglemarv til diagnostisk undersøgelse</v>
          </cell>
          <cell r="C140">
            <v>8760</v>
          </cell>
          <cell r="D140">
            <v>0</v>
          </cell>
          <cell r="E140">
            <v>8751</v>
          </cell>
        </row>
        <row r="141">
          <cell r="A141" t="str">
            <v>PG13B</v>
          </cell>
          <cell r="B141" t="str">
            <v>Laparoskopi, diverse procedurer</v>
          </cell>
          <cell r="C141">
            <v>8320</v>
          </cell>
          <cell r="D141">
            <v>0</v>
          </cell>
          <cell r="E141">
            <v>8311</v>
          </cell>
        </row>
        <row r="142">
          <cell r="A142" t="str">
            <v>PG13C</v>
          </cell>
          <cell r="B142" t="str">
            <v>Geriatri, udredning</v>
          </cell>
          <cell r="C142">
            <v>2765</v>
          </cell>
          <cell r="D142">
            <v>0</v>
          </cell>
          <cell r="E142">
            <v>2762</v>
          </cell>
        </row>
        <row r="143">
          <cell r="A143" t="str">
            <v>PG13D</v>
          </cell>
          <cell r="B143" t="str">
            <v>Geriatri, behandling</v>
          </cell>
          <cell r="C143">
            <v>2211</v>
          </cell>
          <cell r="D143">
            <v>0</v>
          </cell>
          <cell r="E143">
            <v>2209</v>
          </cell>
        </row>
        <row r="144">
          <cell r="A144" t="str">
            <v>PG13E</v>
          </cell>
          <cell r="B144" t="str">
            <v>Epidural trykmåling</v>
          </cell>
          <cell r="C144">
            <v>12635</v>
          </cell>
          <cell r="D144" t="str">
            <v>Takstbud</v>
          </cell>
          <cell r="E144">
            <v>12621</v>
          </cell>
        </row>
        <row r="145">
          <cell r="A145" t="str">
            <v>PG13F</v>
          </cell>
          <cell r="B145" t="str">
            <v>Allergologisk undersøgelse/behandling, kompliceret</v>
          </cell>
          <cell r="C145">
            <v>4204</v>
          </cell>
          <cell r="D145">
            <v>0</v>
          </cell>
          <cell r="E145">
            <v>4199</v>
          </cell>
        </row>
        <row r="146">
          <cell r="A146" t="str">
            <v>PG13G</v>
          </cell>
          <cell r="B146" t="str">
            <v>Allergologisk undersøgelse/behandling, ukompliceret</v>
          </cell>
          <cell r="C146">
            <v>1069</v>
          </cell>
          <cell r="D146">
            <v>0</v>
          </cell>
          <cell r="E146">
            <v>1068</v>
          </cell>
        </row>
        <row r="147">
          <cell r="A147" t="str">
            <v>PG13H</v>
          </cell>
          <cell r="B147" t="str">
            <v>Diætvejledning</v>
          </cell>
          <cell r="C147">
            <v>716</v>
          </cell>
          <cell r="D147">
            <v>0</v>
          </cell>
          <cell r="E147">
            <v>715</v>
          </cell>
        </row>
        <row r="148">
          <cell r="A148" t="str">
            <v>PG13I</v>
          </cell>
          <cell r="B148" t="str">
            <v>Neuropsykologisk undersøgelse, udvidet</v>
          </cell>
          <cell r="C148">
            <v>2252</v>
          </cell>
          <cell r="D148">
            <v>0</v>
          </cell>
          <cell r="E148">
            <v>2250</v>
          </cell>
        </row>
        <row r="149">
          <cell r="A149" t="str">
            <v>PG13J</v>
          </cell>
          <cell r="B149" t="str">
            <v>Hjælpeprocedure, ukompliceret</v>
          </cell>
          <cell r="C149">
            <v>779</v>
          </cell>
          <cell r="D149">
            <v>0</v>
          </cell>
          <cell r="E149">
            <v>778</v>
          </cell>
        </row>
        <row r="150">
          <cell r="A150" t="str">
            <v>PG13K</v>
          </cell>
          <cell r="B150" t="str">
            <v>Urodynamisk undersøgelse, udvidet</v>
          </cell>
          <cell r="C150">
            <v>2273</v>
          </cell>
          <cell r="D150">
            <v>0</v>
          </cell>
          <cell r="E150">
            <v>2271</v>
          </cell>
        </row>
        <row r="151">
          <cell r="A151" t="str">
            <v>PG13L</v>
          </cell>
          <cell r="B151" t="str">
            <v>Urodynamisk undersøgelse, almindelig</v>
          </cell>
          <cell r="C151">
            <v>1134</v>
          </cell>
          <cell r="D151">
            <v>0</v>
          </cell>
          <cell r="E151">
            <v>1133</v>
          </cell>
        </row>
        <row r="152">
          <cell r="A152" t="str">
            <v>PG13M</v>
          </cell>
          <cell r="B152" t="str">
            <v>Anlæggelse af peritonaldialysekateter</v>
          </cell>
          <cell r="C152">
            <v>13058</v>
          </cell>
          <cell r="D152">
            <v>0</v>
          </cell>
          <cell r="E152">
            <v>13044</v>
          </cell>
        </row>
        <row r="153">
          <cell r="A153" t="str">
            <v>PG13N</v>
          </cell>
          <cell r="B153" t="str">
            <v>Endokrinologisk procedure, kompliceret</v>
          </cell>
          <cell r="C153">
            <v>1615</v>
          </cell>
          <cell r="D153">
            <v>0</v>
          </cell>
          <cell r="E153">
            <v>1613</v>
          </cell>
        </row>
        <row r="154">
          <cell r="A154" t="str">
            <v>PG13O</v>
          </cell>
          <cell r="B154" t="str">
            <v>Øjenundersøgelse, større</v>
          </cell>
          <cell r="C154">
            <v>982</v>
          </cell>
          <cell r="D154" t="str">
            <v>Takst 2014</v>
          </cell>
          <cell r="E154">
            <v>981</v>
          </cell>
        </row>
        <row r="155">
          <cell r="A155" t="str">
            <v>PG13P</v>
          </cell>
          <cell r="B155" t="str">
            <v>Øjenundersøgelse, mindre</v>
          </cell>
          <cell r="C155">
            <v>458</v>
          </cell>
          <cell r="D155" t="str">
            <v>Takst 2014 oprindelig fra bud fra det kliniske selskab</v>
          </cell>
          <cell r="E155">
            <v>458</v>
          </cell>
        </row>
        <row r="156">
          <cell r="A156" t="str">
            <v>PG13Q</v>
          </cell>
          <cell r="B156" t="str">
            <v>Immundefekt</v>
          </cell>
          <cell r="C156">
            <v>11523</v>
          </cell>
          <cell r="D156">
            <v>0</v>
          </cell>
          <cell r="E156">
            <v>11511</v>
          </cell>
        </row>
        <row r="157">
          <cell r="A157" t="str">
            <v>PG13R</v>
          </cell>
          <cell r="B157" t="str">
            <v>Kronisk viral hepatitis B/C, vurdering af komplikationer</v>
          </cell>
          <cell r="C157">
            <v>2002</v>
          </cell>
          <cell r="D157" t="str">
            <v>Takst 2014 Bud fra klinisk selskab</v>
          </cell>
          <cell r="E157">
            <v>2000</v>
          </cell>
        </row>
        <row r="158">
          <cell r="A158" t="str">
            <v>PG15A</v>
          </cell>
          <cell r="B158" t="str">
            <v>Arbejdsmedicin grp. 1</v>
          </cell>
          <cell r="C158">
            <v>6907</v>
          </cell>
          <cell r="D158">
            <v>0</v>
          </cell>
          <cell r="E158">
            <v>6900</v>
          </cell>
        </row>
        <row r="159">
          <cell r="A159" t="str">
            <v>PG15B</v>
          </cell>
          <cell r="B159" t="str">
            <v>Arbejdsmedicin grp. 2</v>
          </cell>
          <cell r="C159">
            <v>7184</v>
          </cell>
          <cell r="D159">
            <v>0</v>
          </cell>
          <cell r="E159">
            <v>7176</v>
          </cell>
        </row>
        <row r="160">
          <cell r="A160" t="str">
            <v>PG15C</v>
          </cell>
          <cell r="B160" t="str">
            <v>Arbejdsmedicin grp. 3</v>
          </cell>
          <cell r="C160">
            <v>8980</v>
          </cell>
          <cell r="D160" t="str">
            <v>Taksten er sat på baggrund af niveauet for PG15B</v>
          </cell>
          <cell r="E160">
            <v>8970</v>
          </cell>
        </row>
        <row r="161">
          <cell r="A161" t="str">
            <v>PG16A</v>
          </cell>
          <cell r="B161" t="str">
            <v>Genetisk risikovurdering og rådgivning med gentagen udredning og samtale</v>
          </cell>
          <cell r="C161">
            <v>3903</v>
          </cell>
          <cell r="D161" t="str">
            <v>Taksten er sat på baggrund af niveauet for PG16B</v>
          </cell>
          <cell r="E161">
            <v>3899</v>
          </cell>
        </row>
        <row r="162">
          <cell r="A162" t="str">
            <v>PG16B</v>
          </cell>
          <cell r="B162" t="str">
            <v>Genetisk risikovurdering og rådgivning med udredning</v>
          </cell>
          <cell r="C162">
            <v>3006</v>
          </cell>
          <cell r="D162">
            <v>0</v>
          </cell>
          <cell r="E162">
            <v>3003</v>
          </cell>
        </row>
        <row r="163">
          <cell r="A163" t="str">
            <v>PG16C</v>
          </cell>
          <cell r="B163" t="str">
            <v>Genetisk risikovurdering og rådgivning</v>
          </cell>
          <cell r="C163">
            <v>2885</v>
          </cell>
          <cell r="D163">
            <v>0</v>
          </cell>
          <cell r="E163">
            <v>2882</v>
          </cell>
        </row>
        <row r="164">
          <cell r="A164" t="str">
            <v>PG16D</v>
          </cell>
          <cell r="B164" t="str">
            <v>Stamtræsoptegnelse</v>
          </cell>
          <cell r="C164">
            <v>3195</v>
          </cell>
          <cell r="D164">
            <v>0</v>
          </cell>
          <cell r="E164">
            <v>3192</v>
          </cell>
        </row>
        <row r="165">
          <cell r="A165" t="str">
            <v>PG17A</v>
          </cell>
          <cell r="B165" t="str">
            <v>Klinisk fysiologi/nuklearmedicin grp. A</v>
          </cell>
          <cell r="C165">
            <v>25843</v>
          </cell>
          <cell r="D165" t="str">
            <v>Takst 2014 oprindeligt fra omk.studie og bud fra det kliniske selskab</v>
          </cell>
          <cell r="E165">
            <v>25815</v>
          </cell>
        </row>
        <row r="166">
          <cell r="A166" t="str">
            <v>PG17B</v>
          </cell>
          <cell r="B166" t="str">
            <v>Klinisk fysiologi/nuklearmedicin grp. B</v>
          </cell>
          <cell r="C166">
            <v>14458</v>
          </cell>
          <cell r="D166" t="str">
            <v>Takst 2014 oprindeligt fra omk.studie og bud fra det kliniske selskab</v>
          </cell>
          <cell r="E166">
            <v>14443</v>
          </cell>
        </row>
        <row r="167">
          <cell r="A167" t="str">
            <v>PG17C</v>
          </cell>
          <cell r="B167" t="str">
            <v>Klinisk fysiologi/nuklearmedicin grp. C</v>
          </cell>
          <cell r="C167">
            <v>11039</v>
          </cell>
          <cell r="D167" t="str">
            <v>Takst 2014 oprindeligt fra omk.studie og bud fra det kliniske selskab</v>
          </cell>
          <cell r="E167">
            <v>11027</v>
          </cell>
        </row>
        <row r="168">
          <cell r="A168" t="str">
            <v>PG17D</v>
          </cell>
          <cell r="B168" t="str">
            <v>Klinisk fysiologi/nuklearmedicin grp. D</v>
          </cell>
          <cell r="C168">
            <v>7616</v>
          </cell>
          <cell r="D168" t="str">
            <v>Takst 2014 oprindeligt fra omk.studie og bud fra det kliniske selskab</v>
          </cell>
          <cell r="E168">
            <v>7608</v>
          </cell>
        </row>
        <row r="169">
          <cell r="A169" t="str">
            <v>PG17E</v>
          </cell>
          <cell r="B169" t="str">
            <v>Klinisk fysiologi/nuklearmedicin grp. E</v>
          </cell>
          <cell r="C169">
            <v>5631</v>
          </cell>
          <cell r="D169" t="str">
            <v>Takst 2014 oprindeligt fra omk.studie og bud fra det kliniske selskab</v>
          </cell>
          <cell r="E169">
            <v>5625</v>
          </cell>
        </row>
        <row r="170">
          <cell r="A170" t="str">
            <v>PG17F</v>
          </cell>
          <cell r="B170" t="str">
            <v>Klinisk fysiologi/nuklearmedicin grp. F</v>
          </cell>
          <cell r="C170">
            <v>3742</v>
          </cell>
          <cell r="D170" t="str">
            <v>Takst 2014 oprindeligt fra omk.studie og bud fra det kliniske selskab</v>
          </cell>
          <cell r="E170">
            <v>3738</v>
          </cell>
        </row>
        <row r="171">
          <cell r="A171" t="str">
            <v>PG17G</v>
          </cell>
          <cell r="B171" t="str">
            <v>Klinisk fysiologi/nuklearmedicin grp. G</v>
          </cell>
          <cell r="C171">
            <v>1981</v>
          </cell>
          <cell r="D171" t="str">
            <v>Takst 2014 oprindeligt fra omk.studie og bud fra det kliniske selskab</v>
          </cell>
          <cell r="E171">
            <v>1979</v>
          </cell>
        </row>
        <row r="172">
          <cell r="A172" t="str">
            <v>PG17H</v>
          </cell>
          <cell r="B172" t="str">
            <v>Klinisk fysiologi/nuklearmedicin grp. H</v>
          </cell>
          <cell r="C172">
            <v>1584</v>
          </cell>
          <cell r="D172" t="str">
            <v>Takst 2014 oprindeligt fra omk.studie og bud fra det kliniske selskab</v>
          </cell>
          <cell r="E172">
            <v>1582</v>
          </cell>
        </row>
        <row r="173">
          <cell r="A173" t="str">
            <v>PG17I</v>
          </cell>
          <cell r="B173" t="str">
            <v>Klinisk fysiologi/nuklearmedicin grp. I</v>
          </cell>
          <cell r="C173">
            <v>186</v>
          </cell>
          <cell r="D173" t="str">
            <v>Takst 2014 oprindeligt fra omk.studie og bud fra det kliniske selskab</v>
          </cell>
          <cell r="E173">
            <v>186</v>
          </cell>
        </row>
        <row r="174">
          <cell r="A174" t="str">
            <v>PG18A</v>
          </cell>
          <cell r="B174" t="str">
            <v>Klinisk neurofysiologi grp. 1</v>
          </cell>
          <cell r="C174">
            <v>2600</v>
          </cell>
          <cell r="D174" t="str">
            <v>Takst 2014 oprindeligt fra et ABC-studie</v>
          </cell>
          <cell r="E174">
            <v>2597</v>
          </cell>
        </row>
        <row r="175">
          <cell r="A175" t="str">
            <v>PG18B</v>
          </cell>
          <cell r="B175" t="str">
            <v>Klinisk neurofysiologi grp. 2</v>
          </cell>
          <cell r="C175">
            <v>4032</v>
          </cell>
          <cell r="D175" t="str">
            <v>Takst 2014 oprindeligt fra et ABC-studie</v>
          </cell>
          <cell r="E175">
            <v>4028</v>
          </cell>
        </row>
        <row r="176">
          <cell r="A176" t="str">
            <v>PG18C</v>
          </cell>
          <cell r="B176" t="str">
            <v>Klinisk neurofysiologi grp. 3</v>
          </cell>
          <cell r="C176">
            <v>5052</v>
          </cell>
          <cell r="D176" t="str">
            <v>Takst 2014 oprindeligt fra et ABC-studie</v>
          </cell>
          <cell r="E176">
            <v>5047</v>
          </cell>
        </row>
        <row r="177">
          <cell r="A177" t="str">
            <v>PG19A</v>
          </cell>
          <cell r="B177" t="str">
            <v>Barn under 2 ½ år med prænatal rusmiddelproblematik</v>
          </cell>
          <cell r="C177">
            <v>5727</v>
          </cell>
          <cell r="D177" t="str">
            <v>Bud fra SSI</v>
          </cell>
          <cell r="E177">
            <v>5721</v>
          </cell>
        </row>
        <row r="178">
          <cell r="A178" t="str">
            <v>PG19B</v>
          </cell>
          <cell r="B178" t="str">
            <v>Barn over 2 ½ år med prænatal rusmiddelproblematik</v>
          </cell>
          <cell r="C178">
            <v>6564</v>
          </cell>
          <cell r="D178" t="str">
            <v>Bud fra SSI</v>
          </cell>
          <cell r="E178">
            <v>6557</v>
          </cell>
        </row>
        <row r="179">
          <cell r="A179" t="str">
            <v>ST01A</v>
          </cell>
          <cell r="B179" t="str">
            <v>Fødsel, hjemme</v>
          </cell>
          <cell r="C179">
            <v>22335</v>
          </cell>
          <cell r="D179" t="str">
            <v>Sat til DRG1433</v>
          </cell>
          <cell r="E179">
            <v>22311</v>
          </cell>
        </row>
        <row r="180">
          <cell r="A180" t="str">
            <v>ST01B</v>
          </cell>
          <cell r="B180" t="str">
            <v>Palliativ indsats, specialiseret, hjemmebesøg</v>
          </cell>
          <cell r="C180">
            <v>3519</v>
          </cell>
          <cell r="D180">
            <v>0</v>
          </cell>
          <cell r="E180">
            <v>3515</v>
          </cell>
        </row>
        <row r="181">
          <cell r="A181" t="str">
            <v>ST01C</v>
          </cell>
          <cell r="B181" t="str">
            <v>Geriatri, udredning, hjemmebesøg</v>
          </cell>
          <cell r="C181">
            <v>2765</v>
          </cell>
          <cell r="D181" t="str">
            <v>Sat til PG13C</v>
          </cell>
          <cell r="E181">
            <v>2762</v>
          </cell>
        </row>
        <row r="182">
          <cell r="A182" t="str">
            <v>ST01D</v>
          </cell>
          <cell r="B182" t="str">
            <v>Geriatri, behandling, hjemmebesøg</v>
          </cell>
          <cell r="C182">
            <v>2211</v>
          </cell>
          <cell r="D182" t="str">
            <v>Sat til PG13D</v>
          </cell>
          <cell r="E182">
            <v>2209</v>
          </cell>
        </row>
        <row r="183">
          <cell r="A183" t="str">
            <v>ST01E</v>
          </cell>
          <cell r="B183" t="str">
            <v>Gravid med rusmiddelproblematik, hjemme- og udebesøg</v>
          </cell>
          <cell r="C183">
            <v>795</v>
          </cell>
          <cell r="D183" t="str">
            <v>Takst 2014 Oprindeligt bud fra Hvidovre-Amager</v>
          </cell>
          <cell r="E183">
            <v>794</v>
          </cell>
        </row>
        <row r="184">
          <cell r="A184" t="str">
            <v>ST01F</v>
          </cell>
          <cell r="B184" t="str">
            <v>Lungefunktionsundersøgelse, m. reversibilitetstest, telemedicin</v>
          </cell>
          <cell r="C184">
            <v>1981</v>
          </cell>
          <cell r="D184" t="str">
            <v>Sat til PG17G</v>
          </cell>
          <cell r="E184">
            <v>1979</v>
          </cell>
        </row>
        <row r="185">
          <cell r="A185" t="str">
            <v>ST01G</v>
          </cell>
          <cell r="B185" t="str">
            <v>Lungefunktionsundersøgelse, telemedicin</v>
          </cell>
          <cell r="C185">
            <v>1584</v>
          </cell>
          <cell r="D185" t="str">
            <v>Sat til PG17H</v>
          </cell>
          <cell r="E185">
            <v>1582</v>
          </cell>
        </row>
        <row r="186">
          <cell r="A186" t="str">
            <v>ST01H</v>
          </cell>
          <cell r="B186" t="str">
            <v>Pacemaker-kontrol, telemedicin</v>
          </cell>
          <cell r="C186">
            <v>1365</v>
          </cell>
          <cell r="D186" t="str">
            <v>Sat til PG04H</v>
          </cell>
          <cell r="E186">
            <v>1364</v>
          </cell>
        </row>
        <row r="187">
          <cell r="A187" t="str">
            <v>ST01I</v>
          </cell>
          <cell r="B187" t="str">
            <v>AK-behandling, telemedicin</v>
          </cell>
          <cell r="C187">
            <v>260</v>
          </cell>
          <cell r="D187" t="str">
            <v>Takst 2014 Bud fra Region Syddanmark</v>
          </cell>
          <cell r="E187">
            <v>260</v>
          </cell>
        </row>
        <row r="188">
          <cell r="A188" t="str">
            <v>ST01J</v>
          </cell>
          <cell r="B188" t="str">
            <v>Telemedicinsk sårvurdering</v>
          </cell>
          <cell r="C188">
            <v>283</v>
          </cell>
          <cell r="D188" t="str">
            <v>Takst 2014 Region Syddanmark</v>
          </cell>
          <cell r="E188">
            <v>283</v>
          </cell>
        </row>
        <row r="189">
          <cell r="A189" t="str">
            <v>ST01K</v>
          </cell>
          <cell r="B189" t="str">
            <v>Telemedicinsk type 2 diabeteskontrol</v>
          </cell>
          <cell r="C189">
            <v>1180</v>
          </cell>
          <cell r="D189" t="str">
            <v>Takst 2014 Bud fra det kliniske selskab</v>
          </cell>
          <cell r="E189">
            <v>1179</v>
          </cell>
        </row>
        <row r="190">
          <cell r="A190" t="str">
            <v>ST01L</v>
          </cell>
          <cell r="B190" t="str">
            <v>Telemedicinsk kontrol af CPAP udstyr</v>
          </cell>
          <cell r="C190">
            <v>487</v>
          </cell>
          <cell r="D190" t="str">
            <v>Takst 2014 Bud fra det kliniske selskab</v>
          </cell>
          <cell r="E190">
            <v>486</v>
          </cell>
        </row>
        <row r="191">
          <cell r="A191" t="str">
            <v>PG14A</v>
          </cell>
          <cell r="B191" t="str">
            <v>MR-scanning, kompliceret, m. generel anæstesi</v>
          </cell>
          <cell r="C191">
            <v>10702</v>
          </cell>
          <cell r="D191" t="str">
            <v>Bud fra SSI ud fra PG14B</v>
          </cell>
          <cell r="E191">
            <v>10691</v>
          </cell>
        </row>
        <row r="192">
          <cell r="A192" t="str">
            <v>PG14B</v>
          </cell>
          <cell r="B192" t="str">
            <v>MR-scanning, kompliceret</v>
          </cell>
          <cell r="C192">
            <v>3588</v>
          </cell>
          <cell r="D192" t="str">
            <v>Bud fra SSI ud fra PG14C</v>
          </cell>
          <cell r="E192">
            <v>3584</v>
          </cell>
        </row>
        <row r="193">
          <cell r="A193" t="str">
            <v>PG14C</v>
          </cell>
          <cell r="B193" t="str">
            <v>MR-scanning, ukompliceret</v>
          </cell>
          <cell r="C193">
            <v>2588</v>
          </cell>
          <cell r="D193">
            <v>0</v>
          </cell>
          <cell r="E193">
            <v>2585</v>
          </cell>
        </row>
        <row r="194">
          <cell r="A194" t="str">
            <v>PG14D</v>
          </cell>
          <cell r="B194" t="str">
            <v>MR-scanning, ukompliceret, m. generel anæstesi</v>
          </cell>
          <cell r="C194">
            <v>5052</v>
          </cell>
          <cell r="D194" t="str">
            <v>Bud af det kliniske selskab</v>
          </cell>
          <cell r="E194">
            <v>5047</v>
          </cell>
        </row>
        <row r="195">
          <cell r="A195" t="str">
            <v>PG14E</v>
          </cell>
          <cell r="B195" t="str">
            <v>CT-scanning af hjertet med angiografi</v>
          </cell>
          <cell r="C195">
            <v>3118</v>
          </cell>
          <cell r="D195" t="str">
            <v>Bud fra SSI ud fra PG14F</v>
          </cell>
          <cell r="E195">
            <v>3115</v>
          </cell>
        </row>
        <row r="196">
          <cell r="A196" t="str">
            <v>PG14F</v>
          </cell>
          <cell r="B196" t="str">
            <v>CT-scanning, kompliceret</v>
          </cell>
          <cell r="C196">
            <v>2079</v>
          </cell>
          <cell r="D196" t="str">
            <v>Bud fra SSI ud fra PG14G</v>
          </cell>
          <cell r="E196">
            <v>2077</v>
          </cell>
        </row>
        <row r="197">
          <cell r="A197" t="str">
            <v>PG14G</v>
          </cell>
          <cell r="B197" t="str">
            <v>CT-scanning, ukompliceret, el. osteodensitometri</v>
          </cell>
          <cell r="C197">
            <v>1079</v>
          </cell>
          <cell r="D197">
            <v>0</v>
          </cell>
          <cell r="E197">
            <v>1078</v>
          </cell>
        </row>
        <row r="198">
          <cell r="A198" t="str">
            <v>PG14H</v>
          </cell>
          <cell r="B198" t="str">
            <v>UL-scanning, meget kompliceret, flerfoldsvangerskab</v>
          </cell>
          <cell r="C198">
            <v>6147</v>
          </cell>
          <cell r="D198" t="str">
            <v>Bud fra SSI ud fra PG14K</v>
          </cell>
          <cell r="E198">
            <v>6140</v>
          </cell>
        </row>
        <row r="199">
          <cell r="A199" t="str">
            <v>PG14I</v>
          </cell>
          <cell r="B199" t="str">
            <v>UL-scanning, meget kompliceret</v>
          </cell>
          <cell r="C199">
            <v>2147</v>
          </cell>
          <cell r="D199" t="str">
            <v>Bud fra SSI ud fra PG14K</v>
          </cell>
          <cell r="E199">
            <v>2145</v>
          </cell>
        </row>
        <row r="200">
          <cell r="A200" t="str">
            <v>PG14J</v>
          </cell>
          <cell r="B200" t="str">
            <v>UL-scanning, kompliceret</v>
          </cell>
          <cell r="C200">
            <v>1397</v>
          </cell>
          <cell r="D200" t="str">
            <v>Bud fra SSI ud fra PG14K</v>
          </cell>
          <cell r="E200">
            <v>1396</v>
          </cell>
        </row>
        <row r="201">
          <cell r="A201" t="str">
            <v>PG14K</v>
          </cell>
          <cell r="B201" t="str">
            <v>UL-scanning, ukompliceret</v>
          </cell>
          <cell r="C201">
            <v>647</v>
          </cell>
          <cell r="D201" t="str">
            <v>Takst 2014</v>
          </cell>
          <cell r="E201">
            <v>646</v>
          </cell>
        </row>
        <row r="202">
          <cell r="A202" t="str">
            <v>PG14L</v>
          </cell>
          <cell r="B202" t="str">
            <v>Angiografi</v>
          </cell>
          <cell r="C202">
            <v>6877</v>
          </cell>
          <cell r="D202">
            <v>0</v>
          </cell>
          <cell r="E202">
            <v>6870</v>
          </cell>
        </row>
        <row r="203">
          <cell r="A203" t="str">
            <v>PG14M</v>
          </cell>
          <cell r="B203" t="str">
            <v>Mammografi, kompliceret</v>
          </cell>
          <cell r="C203">
            <v>1531</v>
          </cell>
          <cell r="D203" t="str">
            <v>Bud fra SSI ud fra PG14N</v>
          </cell>
          <cell r="E203">
            <v>1529</v>
          </cell>
        </row>
        <row r="204">
          <cell r="A204" t="str">
            <v>PG14N</v>
          </cell>
          <cell r="B204" t="str">
            <v>Mammografi, ukompliceret</v>
          </cell>
          <cell r="C204">
            <v>581</v>
          </cell>
          <cell r="D204">
            <v>0</v>
          </cell>
          <cell r="E204">
            <v>580</v>
          </cell>
        </row>
        <row r="205">
          <cell r="A205" t="str">
            <v>PG14O</v>
          </cell>
          <cell r="B205" t="str">
            <v>Gennemlysningsundersøgelse, urografi og flebografi, kompliceret</v>
          </cell>
          <cell r="C205">
            <v>1192</v>
          </cell>
          <cell r="D205" t="str">
            <v>Bud fra SSI ud fra PG14P</v>
          </cell>
          <cell r="E205">
            <v>1191</v>
          </cell>
        </row>
        <row r="206">
          <cell r="A206" t="str">
            <v>PG14P</v>
          </cell>
          <cell r="B206" t="str">
            <v>Gennemlysningsundersøgelse, urografi og flebografi, ukompliceret</v>
          </cell>
          <cell r="C206">
            <v>742</v>
          </cell>
          <cell r="D206">
            <v>0</v>
          </cell>
          <cell r="E206">
            <v>741</v>
          </cell>
        </row>
        <row r="207">
          <cell r="A207" t="str">
            <v>PG14Q</v>
          </cell>
          <cell r="B207" t="str">
            <v>Røntgenundersøgelse (alm), kompliceret</v>
          </cell>
          <cell r="C207">
            <v>893</v>
          </cell>
          <cell r="D207">
            <v>0</v>
          </cell>
          <cell r="E207">
            <v>892</v>
          </cell>
        </row>
        <row r="208">
          <cell r="A208" t="str">
            <v>PG14R</v>
          </cell>
          <cell r="B208" t="str">
            <v>Røntgenundersøgelse (alm), ukompliceret</v>
          </cell>
          <cell r="C208">
            <v>528</v>
          </cell>
          <cell r="D208">
            <v>0</v>
          </cell>
          <cell r="E208">
            <v>527</v>
          </cell>
        </row>
        <row r="209">
          <cell r="A209" t="str">
            <v>SP02A</v>
          </cell>
          <cell r="B209" t="str">
            <v>Sammedagspakke: Rygmarvsskader</v>
          </cell>
          <cell r="C209">
            <v>4530</v>
          </cell>
          <cell r="D209" t="str">
            <v>Takst 2014 oprindelig sat pba. vurdering fra det lægefaglige selskab</v>
          </cell>
          <cell r="E209">
            <v>4525</v>
          </cell>
        </row>
        <row r="210">
          <cell r="A210" t="str">
            <v>SP02B</v>
          </cell>
          <cell r="B210" t="str">
            <v>Sammedagspakke: Ryglidelser</v>
          </cell>
          <cell r="C210">
            <v>2505</v>
          </cell>
          <cell r="D210" t="str">
            <v>Takst 2014 oprindelig fra bud af SSI</v>
          </cell>
          <cell r="E210">
            <v>2502</v>
          </cell>
        </row>
        <row r="211">
          <cell r="A211" t="str">
            <v>SP02C</v>
          </cell>
          <cell r="B211" t="str">
            <v>Sammedagspakke: Håndkirurgisk dagkirurgi</v>
          </cell>
          <cell r="C211">
            <v>9500</v>
          </cell>
          <cell r="D211" t="str">
            <v>Takstbud</v>
          </cell>
          <cell r="E211">
            <v>9490</v>
          </cell>
        </row>
        <row r="212">
          <cell r="A212" t="str">
            <v>SP03A</v>
          </cell>
          <cell r="B212" t="str">
            <v>Sammedagspakke: Lungesygdomme, udredning</v>
          </cell>
          <cell r="C212">
            <v>4270</v>
          </cell>
          <cell r="D212" t="str">
            <v>Sat pba. PG17F og PG14R</v>
          </cell>
          <cell r="E212">
            <v>4265</v>
          </cell>
        </row>
        <row r="213">
          <cell r="A213" t="str">
            <v>SP04A</v>
          </cell>
          <cell r="B213" t="str">
            <v>Sammedagspakke: Atrieflimren</v>
          </cell>
          <cell r="C213">
            <v>3480</v>
          </cell>
          <cell r="D213" t="str">
            <v>Sat pba. PG04E og PG14Q</v>
          </cell>
          <cell r="E213">
            <v>3476</v>
          </cell>
        </row>
        <row r="214">
          <cell r="A214" t="str">
            <v>SP04B</v>
          </cell>
          <cell r="B214" t="str">
            <v>Sammedagspakke: Blodprop i hjernen, udredning</v>
          </cell>
          <cell r="C214">
            <v>5166</v>
          </cell>
          <cell r="D214" t="str">
            <v>Takst 2014 oprindelig fra bud fra Neurologisk Selskab</v>
          </cell>
          <cell r="E214">
            <v>5160</v>
          </cell>
        </row>
        <row r="215">
          <cell r="A215" t="str">
            <v>SP04C</v>
          </cell>
          <cell r="B215" t="str">
            <v>Sammedagspakke: Lille Cardiologisk sammedagsudredningspakke</v>
          </cell>
          <cell r="C215">
            <v>4968</v>
          </cell>
          <cell r="D215" t="str">
            <v>Bud fra det kliniske selskab og SSI</v>
          </cell>
          <cell r="E215">
            <v>4963</v>
          </cell>
        </row>
        <row r="216">
          <cell r="A216" t="str">
            <v>SP04D</v>
          </cell>
          <cell r="B216" t="str">
            <v>Sammedagspakke: Mellem Cardiologisk sammedagsudredningspakke</v>
          </cell>
          <cell r="C216">
            <v>7452</v>
          </cell>
          <cell r="D216" t="str">
            <v>Bud fra det kliniske selskab og SSI</v>
          </cell>
          <cell r="E216">
            <v>7444</v>
          </cell>
        </row>
        <row r="217">
          <cell r="A217" t="str">
            <v>SP04E</v>
          </cell>
          <cell r="B217" t="str">
            <v>Sammedagspakke: Stor Cardiologisk sammedagsudredningspakke</v>
          </cell>
          <cell r="C217">
            <v>11923</v>
          </cell>
          <cell r="D217" t="str">
            <v>Bud fra det kliniske selskab og SSI</v>
          </cell>
          <cell r="E217">
            <v>11910</v>
          </cell>
        </row>
        <row r="218">
          <cell r="A218" t="str">
            <v>SP05A</v>
          </cell>
          <cell r="B218" t="str">
            <v>Sammedagspakke: Gastroskopi og koloskopi/sigmoideoskopi</v>
          </cell>
          <cell r="C218">
            <v>4610</v>
          </cell>
          <cell r="D218" t="str">
            <v>Takst 2014 oprindelig fra bud fra det kliniske selskab</v>
          </cell>
          <cell r="E218">
            <v>4605</v>
          </cell>
        </row>
        <row r="219">
          <cell r="A219" t="str">
            <v>SP06A</v>
          </cell>
          <cell r="B219" t="str">
            <v>Sammedagspakke: Cystoskopisk og CT-urografiske undersøgelse</v>
          </cell>
          <cell r="C219">
            <v>8022</v>
          </cell>
          <cell r="D219" t="str">
            <v>Takstbud</v>
          </cell>
          <cell r="E219">
            <v>8013</v>
          </cell>
        </row>
        <row r="220">
          <cell r="A220" t="str">
            <v>SP06B</v>
          </cell>
          <cell r="B220" t="str">
            <v>Sammedagspakke: Prostatakræft-udredning med LUTS-udredning</v>
          </cell>
          <cell r="C220">
            <v>7519</v>
          </cell>
          <cell r="D220" t="str">
            <v>Takstbud</v>
          </cell>
          <cell r="E220">
            <v>7511</v>
          </cell>
        </row>
        <row r="221">
          <cell r="A221" t="str">
            <v>SP06C</v>
          </cell>
          <cell r="B221" t="str">
            <v>Sammedagspakke: LUTS-udredning med cystoskopi eller UL af prostata</v>
          </cell>
          <cell r="C221">
            <v>6500</v>
          </cell>
          <cell r="D221" t="str">
            <v>Takstbud</v>
          </cell>
          <cell r="E221">
            <v>6493</v>
          </cell>
        </row>
        <row r="222">
          <cell r="A222" t="str">
            <v>SP08A</v>
          </cell>
          <cell r="B222" t="str">
            <v>Sammedagspakke: Svangrekontrol og Jordemoderkonsultation med UL-scanning, meget kompl.</v>
          </cell>
          <cell r="C222">
            <v>2475</v>
          </cell>
          <cell r="D222" t="str">
            <v>Sat pba. PG08J og PG14I</v>
          </cell>
          <cell r="E222">
            <v>2472</v>
          </cell>
        </row>
        <row r="223">
          <cell r="A223" t="str">
            <v>SP08B</v>
          </cell>
          <cell r="B223" t="str">
            <v>Sammedagspakke: Svangrekontrol og Jordemoderkonsultation, med UL, kompl. el. ukompl.</v>
          </cell>
          <cell r="C223">
            <v>1350</v>
          </cell>
          <cell r="D223" t="str">
            <v>Sat pba. PG08J, PG14J og PG14K</v>
          </cell>
          <cell r="E223">
            <v>1349</v>
          </cell>
        </row>
        <row r="224">
          <cell r="A224" t="str">
            <v>SP08C</v>
          </cell>
          <cell r="B224" t="str">
            <v>Sammedagspakke: Svangrekontrol og Jordemoderkonsultation</v>
          </cell>
          <cell r="C224">
            <v>1126</v>
          </cell>
          <cell r="D224" t="str">
            <v>Takst 2014 Bud fra SSI pba. PG08J</v>
          </cell>
          <cell r="E224">
            <v>1125</v>
          </cell>
        </row>
        <row r="225">
          <cell r="A225" t="str">
            <v>SP08D</v>
          </cell>
          <cell r="B225" t="str">
            <v>Sammedagspakke: Flere jordemoderkonsultationer</v>
          </cell>
          <cell r="C225">
            <v>1968</v>
          </cell>
          <cell r="D225" t="str">
            <v>Bud fra SSI. Sat pba. PG08H</v>
          </cell>
          <cell r="E225">
            <v>1966</v>
          </cell>
        </row>
        <row r="226">
          <cell r="A226" t="str">
            <v>SP09A</v>
          </cell>
          <cell r="B226" t="str">
            <v>Sammedagspakke: Epilepsiudredning</v>
          </cell>
          <cell r="C226">
            <v>13944</v>
          </cell>
          <cell r="D226" t="str">
            <v>Takstbud</v>
          </cell>
          <cell r="E226">
            <v>13929</v>
          </cell>
        </row>
        <row r="227">
          <cell r="A227" t="str">
            <v>SP10A</v>
          </cell>
          <cell r="B227" t="str">
            <v>Sammedagspakke: Øre-næse-hals samt tandbehandling, flere procedurer, kompl.</v>
          </cell>
          <cell r="C227">
            <v>8833</v>
          </cell>
          <cell r="D227" t="str">
            <v>Sat pba. PG10F og PG10G</v>
          </cell>
          <cell r="E227">
            <v>8824</v>
          </cell>
        </row>
        <row r="228">
          <cell r="A228" t="str">
            <v>SP10B</v>
          </cell>
          <cell r="B228" t="str">
            <v>Sammedagspakke: Øre-næse-hals samt tandbehandling, flere procedurer, kompl. + ukompl.</v>
          </cell>
          <cell r="C228">
            <v>5801</v>
          </cell>
          <cell r="D228" t="str">
            <v>Sat pba. PG10F og PG10G</v>
          </cell>
          <cell r="E228">
            <v>5795</v>
          </cell>
        </row>
        <row r="229">
          <cell r="A229" t="str">
            <v>SP10C</v>
          </cell>
          <cell r="B229" t="str">
            <v>Sammedagspakke: Øre-næse-hals samt tandbehandling, flere procedurer, ukompl.</v>
          </cell>
          <cell r="C229">
            <v>4152</v>
          </cell>
          <cell r="D229" t="str">
            <v>Sat pba. PG10G</v>
          </cell>
          <cell r="E229">
            <v>4148</v>
          </cell>
        </row>
        <row r="230">
          <cell r="A230" t="str">
            <v>SP10D</v>
          </cell>
          <cell r="B230" t="str">
            <v>Sammedagspakke: Høreapparatsbehandling, pat. mindst 18 år</v>
          </cell>
          <cell r="C230">
            <v>1274</v>
          </cell>
          <cell r="D230" t="str">
            <v>Takst 2014 oprindelig fra bud fra SSI</v>
          </cell>
          <cell r="E230">
            <v>1273</v>
          </cell>
        </row>
        <row r="231">
          <cell r="A231" t="str">
            <v>SP10E</v>
          </cell>
          <cell r="B231" t="str">
            <v>Sammedagspakke: Høreapparatsbehandling, pat. 0-17 år</v>
          </cell>
          <cell r="C231">
            <v>2227</v>
          </cell>
          <cell r="D231" t="str">
            <v>Takst 2014 oprindelig fra bud fra SSI</v>
          </cell>
          <cell r="E231">
            <v>2225</v>
          </cell>
        </row>
        <row r="232">
          <cell r="A232" t="str">
            <v>SP10F</v>
          </cell>
          <cell r="B232" t="str">
            <v>Sammedagspakke: Svimmelhed, udredning</v>
          </cell>
          <cell r="C232">
            <v>9634</v>
          </cell>
          <cell r="D232" t="str">
            <v>Takst 2014</v>
          </cell>
          <cell r="E232">
            <v>9624</v>
          </cell>
        </row>
        <row r="233">
          <cell r="A233" t="str">
            <v>SP12A</v>
          </cell>
          <cell r="B233" t="str">
            <v>Sammedagspakke: Tværfaglig artritinformation</v>
          </cell>
          <cell r="C233">
            <v>3001</v>
          </cell>
          <cell r="D233" t="str">
            <v>Sat pba. DG30R</v>
          </cell>
          <cell r="E233">
            <v>2998</v>
          </cell>
        </row>
        <row r="234">
          <cell r="A234" t="str">
            <v>SP12B</v>
          </cell>
          <cell r="B234" t="str">
            <v>Sammedagspakke: Endokrinologisk statuspakke</v>
          </cell>
          <cell r="C234">
            <v>6243</v>
          </cell>
          <cell r="D234" t="str">
            <v>Sat pba. DG30G, PG13G, PG12K og BG50A</v>
          </cell>
          <cell r="E234">
            <v>6236</v>
          </cell>
        </row>
        <row r="235">
          <cell r="A235" t="str">
            <v>SP12C</v>
          </cell>
          <cell r="B235" t="str">
            <v>Sammedagspakke: Besøg hos nefrolog og endokrinolog, pat. i dialyse</v>
          </cell>
          <cell r="C235">
            <v>3809</v>
          </cell>
          <cell r="D235" t="str">
            <v>Sat pba. DG30G, PG12K og BG50A</v>
          </cell>
          <cell r="E235">
            <v>3805</v>
          </cell>
        </row>
        <row r="236">
          <cell r="A236" t="str">
            <v>SP12D</v>
          </cell>
          <cell r="B236" t="str">
            <v>Sammedagspakke: Besøg hos nefrolog og endokrinolog</v>
          </cell>
          <cell r="C236">
            <v>1491</v>
          </cell>
          <cell r="D236" t="str">
            <v>Sat pba. DG30G og BG50A</v>
          </cell>
          <cell r="E236">
            <v>1489</v>
          </cell>
        </row>
        <row r="237">
          <cell r="A237" t="str">
            <v>SP12E</v>
          </cell>
          <cell r="B237" t="str">
            <v>Sammedagspakke: Tværfaglig smertebehandling kroniske smertepatienter</v>
          </cell>
          <cell r="C237">
            <v>4410</v>
          </cell>
          <cell r="D237" t="str">
            <v>Takstbud</v>
          </cell>
          <cell r="E237">
            <v>4405</v>
          </cell>
        </row>
        <row r="238">
          <cell r="A238" t="str">
            <v>SP13A</v>
          </cell>
          <cell r="B238" t="str">
            <v>Sammedagspakke: Anæstesiologisk-allergologisk udredning</v>
          </cell>
          <cell r="C238">
            <v>14378</v>
          </cell>
          <cell r="D238" t="str">
            <v>Takst 2014 oprindelig fra bud fra det kliniske selskab</v>
          </cell>
          <cell r="E238">
            <v>14363</v>
          </cell>
        </row>
        <row r="239">
          <cell r="A239" t="str">
            <v>SP13B</v>
          </cell>
          <cell r="B239" t="str">
            <v>Sammedagspakke: Allergologiske procedurer/behandlinger</v>
          </cell>
          <cell r="C239">
            <v>6340</v>
          </cell>
          <cell r="D239" t="str">
            <v>Takst 2014 oprindelig fra bud fra det kliniske selskab</v>
          </cell>
          <cell r="E239">
            <v>6333</v>
          </cell>
        </row>
        <row r="240">
          <cell r="A240" t="str">
            <v>SP13C</v>
          </cell>
          <cell r="B240" t="str">
            <v>Sammedagspakke: Fostermisdannelse med moderkagebiopsi eller fostervandsprøve</v>
          </cell>
          <cell r="C240">
            <v>10605</v>
          </cell>
          <cell r="D240" t="str">
            <v>Sat pba. PG14I og PG08F</v>
          </cell>
          <cell r="E240">
            <v>10594</v>
          </cell>
        </row>
        <row r="241">
          <cell r="A241" t="str">
            <v>SP13D</v>
          </cell>
          <cell r="B241" t="str">
            <v>Sammedagspakke: Mammadiagnostik udredning</v>
          </cell>
          <cell r="C241">
            <v>3761</v>
          </cell>
          <cell r="D241" t="str">
            <v>Takst 2014 oprindelig fra bud fra det kliniske selskab</v>
          </cell>
          <cell r="E241">
            <v>3757</v>
          </cell>
        </row>
        <row r="242">
          <cell r="A242" t="str">
            <v>SP13E</v>
          </cell>
          <cell r="B242" t="str">
            <v>Sammedagspakke: Injektion, angiostatisk lægemiddel, m. øjenundersøgelse</v>
          </cell>
          <cell r="C242">
            <v>8269</v>
          </cell>
          <cell r="D242" t="str">
            <v>Takst 2014 oprindelig fra bud fra det kliniske selskab og SSI</v>
          </cell>
          <cell r="E242">
            <v>8260</v>
          </cell>
        </row>
        <row r="243">
          <cell r="A243" t="str">
            <v>SP13F</v>
          </cell>
          <cell r="B243" t="str">
            <v>Sammedagspakke: Injektion, øvrige lægemidler, m. øjenundersøgelse</v>
          </cell>
          <cell r="C243">
            <v>3215</v>
          </cell>
          <cell r="D243" t="str">
            <v>Takst 2014 oprindelig fra bud fra det kliniske selskab og SSI</v>
          </cell>
          <cell r="E243">
            <v>3212</v>
          </cell>
        </row>
        <row r="244">
          <cell r="A244" t="str">
            <v>SP13G</v>
          </cell>
          <cell r="B244" t="str">
            <v>Sammedagspakke: Laserbehandling, m. øjenundersøgelse</v>
          </cell>
          <cell r="C244">
            <v>1930</v>
          </cell>
          <cell r="D244" t="str">
            <v>Takst 2014 oprindelig fra bud fra det kliniske selskab og SSI</v>
          </cell>
          <cell r="E244">
            <v>1928</v>
          </cell>
        </row>
        <row r="245">
          <cell r="A245" t="str">
            <v>SP13H</v>
          </cell>
          <cell r="B245" t="str">
            <v>Sammedagspakke: Øjenundersøgelser, flere større</v>
          </cell>
          <cell r="C245">
            <v>1838</v>
          </cell>
          <cell r="D245" t="str">
            <v>Takst 2014 oprindelig fra bud fra det kliniske selskab og SSI</v>
          </cell>
          <cell r="E245">
            <v>1836</v>
          </cell>
        </row>
        <row r="246">
          <cell r="A246" t="str">
            <v>SP13I</v>
          </cell>
          <cell r="B246" t="str">
            <v>Sammedagspakke: Øjenundersøgelser, større + mindre</v>
          </cell>
          <cell r="C246">
            <v>1377</v>
          </cell>
          <cell r="D246" t="str">
            <v>Takst 2014 oprindelig fra bud fra det kliniske selskab og SSI</v>
          </cell>
          <cell r="E246">
            <v>1376</v>
          </cell>
        </row>
        <row r="247">
          <cell r="A247" t="str">
            <v>SP13J</v>
          </cell>
          <cell r="B247" t="str">
            <v>Sammedagspakke: Øjenundersøgelser, flere mindre</v>
          </cell>
          <cell r="C247">
            <v>919</v>
          </cell>
          <cell r="D247" t="str">
            <v>Takst 2014 oprindelig fra bud fra det kliniske selskab og SSI</v>
          </cell>
          <cell r="E247">
            <v>918</v>
          </cell>
        </row>
        <row r="248">
          <cell r="A248" t="str">
            <v>SP14A</v>
          </cell>
          <cell r="B248" t="str">
            <v>Sammedagspakke: MR-scanning + CT-scanning</v>
          </cell>
          <cell r="C248">
            <v>5167</v>
          </cell>
          <cell r="D248" t="str">
            <v>Sat pba. PG14B, PG14C,PG14F og PG14G</v>
          </cell>
          <cell r="E248">
            <v>5161</v>
          </cell>
        </row>
        <row r="249">
          <cell r="A249" t="str">
            <v>SP14B</v>
          </cell>
          <cell r="B249" t="str">
            <v>Sammedagspakke: MR-scanning + UL</v>
          </cell>
          <cell r="C249">
            <v>4860</v>
          </cell>
          <cell r="D249" t="str">
            <v>Sat pba. PG14B, PG14C, PG14I og PG14J</v>
          </cell>
          <cell r="E249">
            <v>4855</v>
          </cell>
        </row>
        <row r="250">
          <cell r="A250" t="str">
            <v>SP14C</v>
          </cell>
          <cell r="B250" t="str">
            <v>Sammedagspakke: CT-scanning + røntgenundersøgelse</v>
          </cell>
          <cell r="C250">
            <v>2289</v>
          </cell>
          <cell r="D250" t="str">
            <v>Sat pba. PG14F og PG14G, PG14Q og PG14R</v>
          </cell>
          <cell r="E250">
            <v>2287</v>
          </cell>
        </row>
        <row r="251">
          <cell r="A251" t="str">
            <v>SP14D</v>
          </cell>
          <cell r="B251" t="str">
            <v>Sammedagspakke: UL, flere procedurer, meget kompl. + kompl.</v>
          </cell>
          <cell r="C251">
            <v>3544</v>
          </cell>
          <cell r="D251" t="str">
            <v>Sat pba. PG14I og PG14J</v>
          </cell>
          <cell r="E251">
            <v>3540</v>
          </cell>
        </row>
        <row r="252">
          <cell r="A252" t="str">
            <v>SP14E</v>
          </cell>
          <cell r="B252" t="str">
            <v>Sammedagspakke: UL, flere procedurer, meget kompl. + ukompl.</v>
          </cell>
          <cell r="C252">
            <v>2794</v>
          </cell>
          <cell r="D252" t="str">
            <v>Sat pba. PG14I og PG14K</v>
          </cell>
          <cell r="E252">
            <v>2791</v>
          </cell>
        </row>
        <row r="253">
          <cell r="A253" t="str">
            <v>SP14F</v>
          </cell>
          <cell r="B253" t="str">
            <v>Sammedagspakke: UL, flere procedurer, kompl. + ukompl.</v>
          </cell>
          <cell r="C253">
            <v>2044</v>
          </cell>
          <cell r="D253" t="str">
            <v>Sat pba. PG14I og PG14J</v>
          </cell>
          <cell r="E253">
            <v>2042</v>
          </cell>
        </row>
        <row r="254">
          <cell r="A254" t="str">
            <v>SP14G</v>
          </cell>
          <cell r="B254" t="str">
            <v>Sammedagspakke: UL, flere ukompl. Procedurer</v>
          </cell>
          <cell r="C254">
            <v>1294</v>
          </cell>
          <cell r="D254" t="str">
            <v>Sat pba. PG14K</v>
          </cell>
          <cell r="E254">
            <v>1293</v>
          </cell>
        </row>
        <row r="255">
          <cell r="A255" t="str">
            <v>SP16A</v>
          </cell>
          <cell r="B255" t="str">
            <v>Sammedagspakke: Større Klinisk genetisk udredning/undersøgelse m. stamtræ</v>
          </cell>
          <cell r="C255">
            <v>12953</v>
          </cell>
          <cell r="D255" t="str">
            <v>Bud fra det kliniske selskab og SSI</v>
          </cell>
          <cell r="E255">
            <v>12939</v>
          </cell>
        </row>
        <row r="256">
          <cell r="A256" t="str">
            <v>SP16B</v>
          </cell>
          <cell r="B256" t="str">
            <v>Sammedagspakke: Klinisk genetisk udredning, omfattende, med svar.</v>
          </cell>
          <cell r="C256">
            <v>12668</v>
          </cell>
          <cell r="D256" t="str">
            <v>Bud fra det kliniske selskab og SSI</v>
          </cell>
          <cell r="E256">
            <v>12654</v>
          </cell>
        </row>
        <row r="257">
          <cell r="A257" t="str">
            <v>SP20A</v>
          </cell>
          <cell r="B257" t="str">
            <v>Sammedagspakke: Kompleks somatisk sygdom med behov for tværfaglig psykisk og social udredning og støtte</v>
          </cell>
          <cell r="C257">
            <v>3239</v>
          </cell>
          <cell r="D257" t="str">
            <v>Bud fra Region Syddanmark</v>
          </cell>
          <cell r="E257">
            <v>3236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øringssvar"/>
      <sheetName val="Trombvagt"/>
      <sheetName val="omkostningsoplysn. MDC05"/>
      <sheetName val="Øvrig drift MDC05 "/>
      <sheetName val="Stor MWL"/>
      <sheetName val="Lille MWL"/>
      <sheetName val="vaskulariserede lapper"/>
      <sheetName val="Aktivitet2013"/>
      <sheetName val="Basis jordemoderkons"/>
      <sheetName val="Udvidet jordemoderkons"/>
      <sheetName val="Akut jdm"/>
    </sheetNames>
    <sheetDataSet>
      <sheetData sheetId="0" refreshError="1"/>
      <sheetData sheetId="1" refreshError="1"/>
      <sheetData sheetId="2" refreshError="1"/>
      <sheetData sheetId="3">
        <row r="19">
          <cell r="F19">
            <v>107533.33333333333</v>
          </cell>
        </row>
        <row r="40">
          <cell r="P40">
            <v>2230</v>
          </cell>
        </row>
        <row r="120">
          <cell r="B120">
            <v>24357.25</v>
          </cell>
        </row>
        <row r="121">
          <cell r="B121">
            <v>52808.5</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kabh\AppData\Local\Microsoft\Windows\INetCache\Content.Outlook\DGOBCDM2\Indkomne%20h&#248;ringssvar\M_Plastikkirurgisk%20selskab%20-%20DRG%200913.msg"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Microsoft_Excel_97-2003-regneark1.xls"/><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zoomScale="85" zoomScaleNormal="85" workbookViewId="0">
      <pane ySplit="1" topLeftCell="A2" activePane="bottomLeft" state="frozen"/>
      <selection pane="bottomLeft"/>
    </sheetView>
  </sheetViews>
  <sheetFormatPr defaultRowHeight="15" x14ac:dyDescent="0.25"/>
  <cols>
    <col min="1" max="1" width="6" style="1" customWidth="1"/>
    <col min="2" max="2" width="7.85546875" style="1" bestFit="1" customWidth="1"/>
    <col min="3" max="4" width="14.5703125" style="1" customWidth="1"/>
    <col min="5" max="7" width="10.7109375" style="1" bestFit="1" customWidth="1"/>
    <col min="8" max="8" width="19.42578125" style="1" bestFit="1" customWidth="1"/>
    <col min="9" max="9" width="97.7109375" style="1" customWidth="1"/>
    <col min="10" max="10" width="28.28515625" style="1" customWidth="1"/>
    <col min="11" max="12" width="18.85546875" style="1" customWidth="1"/>
    <col min="13" max="13" width="19.5703125" style="1" customWidth="1"/>
    <col min="14" max="16384" width="9.140625" style="1"/>
  </cols>
  <sheetData>
    <row r="1" spans="1:13" ht="28.5" x14ac:dyDescent="0.25">
      <c r="A1" s="2" t="s">
        <v>2</v>
      </c>
      <c r="B1" s="2" t="s">
        <v>3</v>
      </c>
      <c r="C1" s="2" t="s">
        <v>13</v>
      </c>
      <c r="D1" s="2" t="s">
        <v>14</v>
      </c>
      <c r="E1" s="2" t="s">
        <v>0</v>
      </c>
      <c r="F1" s="2" t="s">
        <v>10</v>
      </c>
      <c r="G1" s="2" t="s">
        <v>1</v>
      </c>
      <c r="H1" s="2" t="s">
        <v>4</v>
      </c>
      <c r="I1" s="2" t="s">
        <v>5</v>
      </c>
      <c r="J1" s="2" t="s">
        <v>6</v>
      </c>
      <c r="K1" s="2" t="s">
        <v>7</v>
      </c>
      <c r="L1" s="2" t="s">
        <v>8</v>
      </c>
      <c r="M1" s="2" t="s">
        <v>9</v>
      </c>
    </row>
    <row r="2" spans="1:13" ht="135" x14ac:dyDescent="0.25">
      <c r="A2" s="3" t="s">
        <v>21</v>
      </c>
      <c r="B2" s="4">
        <v>1</v>
      </c>
      <c r="C2" s="3" t="s">
        <v>107</v>
      </c>
      <c r="D2" s="3" t="s">
        <v>107</v>
      </c>
      <c r="E2" s="3" t="s">
        <v>108</v>
      </c>
      <c r="F2" s="3" t="s">
        <v>108</v>
      </c>
      <c r="G2" s="3" t="s">
        <v>108</v>
      </c>
      <c r="H2" s="3" t="s">
        <v>23</v>
      </c>
      <c r="I2" s="3" t="s">
        <v>109</v>
      </c>
      <c r="J2" s="3"/>
      <c r="K2" s="362" t="s">
        <v>1479</v>
      </c>
      <c r="L2" s="3"/>
      <c r="M2" s="3"/>
    </row>
    <row r="3" spans="1:13" ht="300" x14ac:dyDescent="0.25">
      <c r="A3" s="3" t="s">
        <v>21</v>
      </c>
      <c r="B3" s="4">
        <v>2</v>
      </c>
      <c r="C3" s="3" t="s">
        <v>110</v>
      </c>
      <c r="D3" s="3" t="s">
        <v>110</v>
      </c>
      <c r="E3" s="3" t="s">
        <v>108</v>
      </c>
      <c r="F3" s="3" t="s">
        <v>108</v>
      </c>
      <c r="G3" s="3" t="s">
        <v>108</v>
      </c>
      <c r="H3" s="3" t="s">
        <v>23</v>
      </c>
      <c r="I3" s="3" t="s">
        <v>111</v>
      </c>
      <c r="J3" s="3"/>
      <c r="K3" s="362" t="s">
        <v>1793</v>
      </c>
      <c r="L3" s="3"/>
      <c r="M3" s="3"/>
    </row>
    <row r="4" spans="1:13" ht="330" x14ac:dyDescent="0.25">
      <c r="A4" s="3" t="s">
        <v>1752</v>
      </c>
      <c r="B4" s="4">
        <v>3</v>
      </c>
      <c r="C4" s="3" t="s">
        <v>1755</v>
      </c>
      <c r="D4" s="3" t="s">
        <v>1755</v>
      </c>
      <c r="E4" s="50" t="s">
        <v>108</v>
      </c>
      <c r="F4" s="50" t="s">
        <v>108</v>
      </c>
      <c r="G4" s="50" t="s">
        <v>108</v>
      </c>
      <c r="H4" s="3" t="s">
        <v>1753</v>
      </c>
      <c r="I4" s="3" t="s">
        <v>1754</v>
      </c>
      <c r="J4" s="3"/>
      <c r="K4" s="362" t="s">
        <v>1867</v>
      </c>
      <c r="L4" s="3"/>
      <c r="M4" s="3"/>
    </row>
    <row r="5" spans="1:13" ht="135" x14ac:dyDescent="0.25">
      <c r="A5" s="3" t="s">
        <v>21</v>
      </c>
      <c r="B5" s="4">
        <v>4</v>
      </c>
      <c r="C5" s="3" t="s">
        <v>112</v>
      </c>
      <c r="D5" s="3" t="s">
        <v>112</v>
      </c>
      <c r="E5" s="3" t="s">
        <v>108</v>
      </c>
      <c r="F5" s="3" t="s">
        <v>108</v>
      </c>
      <c r="G5" s="3" t="s">
        <v>108</v>
      </c>
      <c r="H5" s="3" t="s">
        <v>23</v>
      </c>
      <c r="I5" s="3" t="s">
        <v>113</v>
      </c>
      <c r="J5" s="3"/>
      <c r="K5" s="362" t="s">
        <v>1868</v>
      </c>
      <c r="L5" s="3"/>
      <c r="M5" s="3"/>
    </row>
    <row r="6" spans="1:13" ht="60" x14ac:dyDescent="0.25">
      <c r="A6" s="3" t="s">
        <v>21</v>
      </c>
      <c r="B6" s="4">
        <v>5</v>
      </c>
      <c r="C6" s="3" t="s">
        <v>115</v>
      </c>
      <c r="D6" s="3" t="s">
        <v>115</v>
      </c>
      <c r="E6" s="3" t="s">
        <v>108</v>
      </c>
      <c r="F6" s="3" t="s">
        <v>108</v>
      </c>
      <c r="G6" s="3" t="s">
        <v>108</v>
      </c>
      <c r="H6" s="3" t="s">
        <v>23</v>
      </c>
      <c r="I6" s="3" t="s">
        <v>116</v>
      </c>
      <c r="J6" s="3" t="s">
        <v>114</v>
      </c>
      <c r="K6" s="362" t="s">
        <v>1480</v>
      </c>
      <c r="L6" s="3"/>
      <c r="M6" s="3"/>
    </row>
    <row r="7" spans="1:13" ht="240" x14ac:dyDescent="0.25">
      <c r="A7" s="3" t="s">
        <v>21</v>
      </c>
      <c r="B7" s="4">
        <v>6</v>
      </c>
      <c r="C7" s="3" t="s">
        <v>119</v>
      </c>
      <c r="D7" s="3" t="s">
        <v>119</v>
      </c>
      <c r="E7" s="3" t="s">
        <v>108</v>
      </c>
      <c r="F7" s="3" t="s">
        <v>108</v>
      </c>
      <c r="G7" s="3" t="s">
        <v>108</v>
      </c>
      <c r="H7" s="3" t="s">
        <v>23</v>
      </c>
      <c r="I7" s="3" t="s">
        <v>117</v>
      </c>
      <c r="J7" s="3" t="s">
        <v>118</v>
      </c>
      <c r="K7" s="362" t="s">
        <v>1794</v>
      </c>
      <c r="L7" s="3"/>
      <c r="M7" s="3"/>
    </row>
    <row r="8" spans="1:13" ht="150" x14ac:dyDescent="0.25">
      <c r="A8" s="3" t="s">
        <v>172</v>
      </c>
      <c r="B8" s="4">
        <v>7</v>
      </c>
      <c r="C8" s="3" t="s">
        <v>107</v>
      </c>
      <c r="D8" s="3"/>
      <c r="E8" s="3"/>
      <c r="F8" s="3"/>
      <c r="G8" s="3"/>
      <c r="H8" s="3" t="s">
        <v>173</v>
      </c>
      <c r="I8" s="3" t="s">
        <v>166</v>
      </c>
      <c r="J8" s="3"/>
      <c r="K8" s="362" t="s">
        <v>1795</v>
      </c>
      <c r="L8" s="3"/>
      <c r="M8" s="3"/>
    </row>
    <row r="9" spans="1:13" ht="240" x14ac:dyDescent="0.25">
      <c r="A9" s="3" t="s">
        <v>172</v>
      </c>
      <c r="B9" s="4">
        <v>8</v>
      </c>
      <c r="C9" s="3" t="s">
        <v>107</v>
      </c>
      <c r="D9" s="3"/>
      <c r="E9" s="3"/>
      <c r="F9" s="3"/>
      <c r="G9" s="3"/>
      <c r="H9" s="3" t="s">
        <v>173</v>
      </c>
      <c r="I9" s="3" t="s">
        <v>167</v>
      </c>
      <c r="J9" s="3"/>
      <c r="K9" s="362" t="s">
        <v>1794</v>
      </c>
      <c r="L9" s="3"/>
      <c r="M9" s="3"/>
    </row>
    <row r="10" spans="1:13" ht="45" x14ac:dyDescent="0.25">
      <c r="A10" s="3" t="s">
        <v>172</v>
      </c>
      <c r="B10" s="4">
        <v>9</v>
      </c>
      <c r="C10" s="3" t="s">
        <v>107</v>
      </c>
      <c r="D10" s="3"/>
      <c r="E10" s="3"/>
      <c r="F10" s="3"/>
      <c r="G10" s="3"/>
      <c r="H10" s="3" t="s">
        <v>173</v>
      </c>
      <c r="I10" s="3" t="s">
        <v>168</v>
      </c>
      <c r="J10" s="3"/>
      <c r="K10" s="362" t="s">
        <v>1480</v>
      </c>
      <c r="L10" s="3"/>
      <c r="M10" s="3"/>
    </row>
    <row r="11" spans="1:13" ht="255" x14ac:dyDescent="0.25">
      <c r="A11" s="3" t="s">
        <v>1126</v>
      </c>
      <c r="B11" s="4">
        <v>10</v>
      </c>
      <c r="C11" s="3" t="s">
        <v>107</v>
      </c>
      <c r="D11" s="3"/>
      <c r="E11" s="3"/>
      <c r="F11" s="3"/>
      <c r="G11" s="3"/>
      <c r="H11" s="3" t="s">
        <v>1127</v>
      </c>
      <c r="I11" s="3" t="s">
        <v>1769</v>
      </c>
      <c r="J11" s="3"/>
      <c r="K11" s="362" t="s">
        <v>1796</v>
      </c>
      <c r="L11" s="3"/>
      <c r="M11" s="3"/>
    </row>
    <row r="12" spans="1:13" ht="330" x14ac:dyDescent="0.25">
      <c r="A12" s="3" t="s">
        <v>172</v>
      </c>
      <c r="B12" s="4">
        <v>11</v>
      </c>
      <c r="C12" s="3" t="s">
        <v>107</v>
      </c>
      <c r="D12" s="3"/>
      <c r="E12" s="3"/>
      <c r="F12" s="3"/>
      <c r="G12" s="3"/>
      <c r="H12" s="3" t="s">
        <v>174</v>
      </c>
      <c r="I12" s="3" t="s">
        <v>169</v>
      </c>
      <c r="J12" s="3"/>
      <c r="K12" s="362" t="s">
        <v>1797</v>
      </c>
      <c r="L12" s="3"/>
      <c r="M12" s="3"/>
    </row>
    <row r="13" spans="1:13" ht="315" x14ac:dyDescent="0.25">
      <c r="A13" s="3" t="s">
        <v>172</v>
      </c>
      <c r="B13" s="4">
        <v>12</v>
      </c>
      <c r="C13" s="3" t="s">
        <v>107</v>
      </c>
      <c r="D13" s="3"/>
      <c r="E13" s="3"/>
      <c r="F13" s="3"/>
      <c r="G13" s="3"/>
      <c r="H13" s="3" t="s">
        <v>175</v>
      </c>
      <c r="I13" s="3" t="s">
        <v>968</v>
      </c>
      <c r="J13" s="3"/>
      <c r="K13" s="362" t="s">
        <v>1798</v>
      </c>
      <c r="L13" s="3"/>
      <c r="M13" s="3"/>
    </row>
    <row r="14" spans="1:13" ht="75" x14ac:dyDescent="0.25">
      <c r="A14" s="3" t="s">
        <v>172</v>
      </c>
      <c r="B14" s="4">
        <v>13</v>
      </c>
      <c r="C14" s="3" t="s">
        <v>164</v>
      </c>
      <c r="D14" s="3"/>
      <c r="E14" s="3"/>
      <c r="F14" s="3"/>
      <c r="G14" s="3"/>
      <c r="H14" s="3" t="s">
        <v>176</v>
      </c>
      <c r="I14" s="3" t="s">
        <v>170</v>
      </c>
      <c r="J14" s="3"/>
      <c r="K14" s="362" t="s">
        <v>1481</v>
      </c>
      <c r="L14" s="3"/>
      <c r="M14" s="3"/>
    </row>
    <row r="15" spans="1:13" ht="255" x14ac:dyDescent="0.25">
      <c r="A15" s="3" t="s">
        <v>172</v>
      </c>
      <c r="B15" s="4">
        <v>14</v>
      </c>
      <c r="C15" s="3" t="s">
        <v>165</v>
      </c>
      <c r="D15" s="3"/>
      <c r="E15" s="3"/>
      <c r="F15" s="3"/>
      <c r="G15" s="3"/>
      <c r="H15" s="3" t="s">
        <v>176</v>
      </c>
      <c r="I15" s="3" t="s">
        <v>171</v>
      </c>
      <c r="J15" s="3"/>
      <c r="K15" s="362" t="s">
        <v>1487</v>
      </c>
      <c r="L15" s="3"/>
      <c r="M15" s="3"/>
    </row>
    <row r="16" spans="1:13" ht="45" x14ac:dyDescent="0.25">
      <c r="A16" s="3" t="s">
        <v>450</v>
      </c>
      <c r="B16" s="4">
        <v>15</v>
      </c>
      <c r="C16" s="3" t="s">
        <v>445</v>
      </c>
      <c r="D16" s="3"/>
      <c r="E16" s="3"/>
      <c r="F16" s="3"/>
      <c r="G16" s="3"/>
      <c r="H16" s="3" t="s">
        <v>447</v>
      </c>
      <c r="I16" s="3" t="s">
        <v>446</v>
      </c>
      <c r="J16" s="3"/>
      <c r="K16" s="362" t="s">
        <v>1799</v>
      </c>
      <c r="L16" s="3"/>
      <c r="M16" s="3"/>
    </row>
    <row r="17" spans="1:13" ht="45" x14ac:dyDescent="0.25">
      <c r="A17" s="3" t="s">
        <v>450</v>
      </c>
      <c r="B17" s="4">
        <v>16</v>
      </c>
      <c r="C17" s="3" t="s">
        <v>448</v>
      </c>
      <c r="D17" s="3"/>
      <c r="E17" s="3"/>
      <c r="F17" s="3"/>
      <c r="G17" s="3"/>
      <c r="H17" s="3" t="s">
        <v>447</v>
      </c>
      <c r="I17" s="3" t="s">
        <v>449</v>
      </c>
      <c r="J17" s="3"/>
      <c r="K17" s="362" t="s">
        <v>1482</v>
      </c>
      <c r="L17" s="3"/>
      <c r="M17" s="3"/>
    </row>
    <row r="18" spans="1:13" ht="255" x14ac:dyDescent="0.25">
      <c r="A18" s="3" t="s">
        <v>586</v>
      </c>
      <c r="B18" s="4">
        <v>17</v>
      </c>
      <c r="C18" s="3" t="s">
        <v>587</v>
      </c>
      <c r="D18" s="3"/>
      <c r="E18" s="3"/>
      <c r="F18" s="3"/>
      <c r="G18" s="3"/>
      <c r="H18" s="3" t="s">
        <v>588</v>
      </c>
      <c r="I18" s="3" t="s">
        <v>963</v>
      </c>
      <c r="J18" s="3"/>
      <c r="K18" s="362" t="s">
        <v>1869</v>
      </c>
      <c r="L18" s="3"/>
      <c r="M18" s="3"/>
    </row>
    <row r="19" spans="1:13" ht="330" x14ac:dyDescent="0.25">
      <c r="A19" s="3" t="s">
        <v>586</v>
      </c>
      <c r="B19" s="4">
        <v>18</v>
      </c>
      <c r="C19" s="3" t="s">
        <v>589</v>
      </c>
      <c r="D19" s="3"/>
      <c r="E19" s="3"/>
      <c r="F19" s="3"/>
      <c r="G19" s="3"/>
      <c r="H19" s="3" t="s">
        <v>588</v>
      </c>
      <c r="I19" s="3" t="s">
        <v>964</v>
      </c>
      <c r="J19" s="3"/>
      <c r="K19" s="362" t="s">
        <v>1800</v>
      </c>
      <c r="L19" s="3"/>
      <c r="M19" s="3" t="s">
        <v>1870</v>
      </c>
    </row>
    <row r="20" spans="1:13" ht="255" x14ac:dyDescent="0.25">
      <c r="A20" s="3" t="s">
        <v>1020</v>
      </c>
      <c r="B20" s="4">
        <v>19</v>
      </c>
      <c r="C20" s="3" t="s">
        <v>1021</v>
      </c>
      <c r="D20" s="3"/>
      <c r="E20" s="3"/>
      <c r="F20" s="3"/>
      <c r="G20" s="3"/>
      <c r="H20" s="3" t="s">
        <v>1022</v>
      </c>
      <c r="I20" s="3" t="s">
        <v>1023</v>
      </c>
      <c r="J20" s="3"/>
      <c r="K20" s="362" t="s">
        <v>1554</v>
      </c>
      <c r="L20" s="3"/>
      <c r="M20" s="3"/>
    </row>
    <row r="21" spans="1:13" ht="45" x14ac:dyDescent="0.25">
      <c r="A21" s="3" t="s">
        <v>1020</v>
      </c>
      <c r="B21" s="4">
        <v>20</v>
      </c>
      <c r="C21" s="3" t="s">
        <v>1024</v>
      </c>
      <c r="D21" s="3"/>
      <c r="E21" s="3"/>
      <c r="F21" s="3"/>
      <c r="G21" s="3"/>
      <c r="H21" s="3" t="s">
        <v>1022</v>
      </c>
      <c r="I21" s="3" t="s">
        <v>1029</v>
      </c>
      <c r="J21" s="3"/>
      <c r="K21" s="362" t="s">
        <v>1871</v>
      </c>
      <c r="L21" s="3"/>
      <c r="M21" s="3"/>
    </row>
    <row r="22" spans="1:13" ht="60" x14ac:dyDescent="0.25">
      <c r="A22" s="3" t="s">
        <v>1020</v>
      </c>
      <c r="B22" s="4">
        <v>21</v>
      </c>
      <c r="C22" s="3" t="s">
        <v>1025</v>
      </c>
      <c r="D22" s="3"/>
      <c r="E22" s="3"/>
      <c r="F22" s="3"/>
      <c r="G22" s="3"/>
      <c r="H22" s="3" t="s">
        <v>1022</v>
      </c>
      <c r="I22" s="3" t="s">
        <v>1030</v>
      </c>
      <c r="J22" s="3"/>
      <c r="K22" s="362" t="s">
        <v>1483</v>
      </c>
      <c r="L22" s="3"/>
      <c r="M22" s="3"/>
    </row>
    <row r="23" spans="1:13" ht="105" x14ac:dyDescent="0.25">
      <c r="A23" s="3" t="s">
        <v>1020</v>
      </c>
      <c r="B23" s="4">
        <v>22</v>
      </c>
      <c r="C23" s="3" t="s">
        <v>1026</v>
      </c>
      <c r="D23" s="3"/>
      <c r="E23" s="3"/>
      <c r="F23" s="3"/>
      <c r="G23" s="3"/>
      <c r="H23" s="3" t="s">
        <v>1022</v>
      </c>
      <c r="I23" s="3" t="s">
        <v>1031</v>
      </c>
      <c r="J23" s="3"/>
      <c r="K23" s="362" t="s">
        <v>1484</v>
      </c>
      <c r="L23" s="3"/>
      <c r="M23" s="3"/>
    </row>
    <row r="24" spans="1:13" ht="75" x14ac:dyDescent="0.25">
      <c r="A24" s="3" t="s">
        <v>1020</v>
      </c>
      <c r="B24" s="4">
        <v>23</v>
      </c>
      <c r="C24" s="3" t="s">
        <v>1027</v>
      </c>
      <c r="D24" s="3"/>
      <c r="E24" s="3"/>
      <c r="F24" s="3"/>
      <c r="G24" s="3"/>
      <c r="H24" s="3" t="s">
        <v>1022</v>
      </c>
      <c r="I24" s="3" t="s">
        <v>1032</v>
      </c>
      <c r="J24" s="3"/>
      <c r="K24" s="362" t="s">
        <v>1485</v>
      </c>
      <c r="L24" s="3"/>
      <c r="M24" s="3"/>
    </row>
    <row r="25" spans="1:13" ht="60" x14ac:dyDescent="0.25">
      <c r="A25" s="3" t="s">
        <v>1020</v>
      </c>
      <c r="B25" s="4">
        <v>24</v>
      </c>
      <c r="C25" s="3" t="s">
        <v>1028</v>
      </c>
      <c r="D25" s="3"/>
      <c r="E25" s="3"/>
      <c r="F25" s="3"/>
      <c r="G25" s="3"/>
      <c r="H25" s="3" t="s">
        <v>1022</v>
      </c>
      <c r="I25" s="3" t="s">
        <v>1033</v>
      </c>
      <c r="J25" s="3"/>
      <c r="K25" s="362" t="s">
        <v>1486</v>
      </c>
      <c r="L25" s="3"/>
      <c r="M25" s="3"/>
    </row>
  </sheetData>
  <pageMargins left="0.7" right="0.7"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workbookViewId="0"/>
  </sheetViews>
  <sheetFormatPr defaultRowHeight="15" x14ac:dyDescent="0.25"/>
  <cols>
    <col min="1" max="1" width="23.5703125" customWidth="1"/>
    <col min="2" max="2" width="12.28515625" bestFit="1" customWidth="1"/>
    <col min="3" max="3" width="13.7109375" bestFit="1" customWidth="1"/>
    <col min="4" max="4" width="12.5703125" bestFit="1" customWidth="1"/>
    <col min="257" max="257" width="23.5703125" customWidth="1"/>
    <col min="258" max="258" width="12.28515625" bestFit="1" customWidth="1"/>
    <col min="259" max="259" width="13.7109375" bestFit="1" customWidth="1"/>
    <col min="260" max="260" width="12.5703125" bestFit="1" customWidth="1"/>
    <col min="513" max="513" width="23.5703125" customWidth="1"/>
    <col min="514" max="514" width="12.28515625" bestFit="1" customWidth="1"/>
    <col min="515" max="515" width="13.7109375" bestFit="1" customWidth="1"/>
    <col min="516" max="516" width="12.5703125" bestFit="1" customWidth="1"/>
    <col min="769" max="769" width="23.5703125" customWidth="1"/>
    <col min="770" max="770" width="12.28515625" bestFit="1" customWidth="1"/>
    <col min="771" max="771" width="13.7109375" bestFit="1" customWidth="1"/>
    <col min="772" max="772" width="12.5703125" bestFit="1" customWidth="1"/>
    <col min="1025" max="1025" width="23.5703125" customWidth="1"/>
    <col min="1026" max="1026" width="12.28515625" bestFit="1" customWidth="1"/>
    <col min="1027" max="1027" width="13.7109375" bestFit="1" customWidth="1"/>
    <col min="1028" max="1028" width="12.5703125" bestFit="1" customWidth="1"/>
    <col min="1281" max="1281" width="23.5703125" customWidth="1"/>
    <col min="1282" max="1282" width="12.28515625" bestFit="1" customWidth="1"/>
    <col min="1283" max="1283" width="13.7109375" bestFit="1" customWidth="1"/>
    <col min="1284" max="1284" width="12.5703125" bestFit="1" customWidth="1"/>
    <col min="1537" max="1537" width="23.5703125" customWidth="1"/>
    <col min="1538" max="1538" width="12.28515625" bestFit="1" customWidth="1"/>
    <col min="1539" max="1539" width="13.7109375" bestFit="1" customWidth="1"/>
    <col min="1540" max="1540" width="12.5703125" bestFit="1" customWidth="1"/>
    <col min="1793" max="1793" width="23.5703125" customWidth="1"/>
    <col min="1794" max="1794" width="12.28515625" bestFit="1" customWidth="1"/>
    <col min="1795" max="1795" width="13.7109375" bestFit="1" customWidth="1"/>
    <col min="1796" max="1796" width="12.5703125" bestFit="1" customWidth="1"/>
    <col min="2049" max="2049" width="23.5703125" customWidth="1"/>
    <col min="2050" max="2050" width="12.28515625" bestFit="1" customWidth="1"/>
    <col min="2051" max="2051" width="13.7109375" bestFit="1" customWidth="1"/>
    <col min="2052" max="2052" width="12.5703125" bestFit="1" customWidth="1"/>
    <col min="2305" max="2305" width="23.5703125" customWidth="1"/>
    <col min="2306" max="2306" width="12.28515625" bestFit="1" customWidth="1"/>
    <col min="2307" max="2307" width="13.7109375" bestFit="1" customWidth="1"/>
    <col min="2308" max="2308" width="12.5703125" bestFit="1" customWidth="1"/>
    <col min="2561" max="2561" width="23.5703125" customWidth="1"/>
    <col min="2562" max="2562" width="12.28515625" bestFit="1" customWidth="1"/>
    <col min="2563" max="2563" width="13.7109375" bestFit="1" customWidth="1"/>
    <col min="2564" max="2564" width="12.5703125" bestFit="1" customWidth="1"/>
    <col min="2817" max="2817" width="23.5703125" customWidth="1"/>
    <col min="2818" max="2818" width="12.28515625" bestFit="1" customWidth="1"/>
    <col min="2819" max="2819" width="13.7109375" bestFit="1" customWidth="1"/>
    <col min="2820" max="2820" width="12.5703125" bestFit="1" customWidth="1"/>
    <col min="3073" max="3073" width="23.5703125" customWidth="1"/>
    <col min="3074" max="3074" width="12.28515625" bestFit="1" customWidth="1"/>
    <col min="3075" max="3075" width="13.7109375" bestFit="1" customWidth="1"/>
    <col min="3076" max="3076" width="12.5703125" bestFit="1" customWidth="1"/>
    <col min="3329" max="3329" width="23.5703125" customWidth="1"/>
    <col min="3330" max="3330" width="12.28515625" bestFit="1" customWidth="1"/>
    <col min="3331" max="3331" width="13.7109375" bestFit="1" customWidth="1"/>
    <col min="3332" max="3332" width="12.5703125" bestFit="1" customWidth="1"/>
    <col min="3585" max="3585" width="23.5703125" customWidth="1"/>
    <col min="3586" max="3586" width="12.28515625" bestFit="1" customWidth="1"/>
    <col min="3587" max="3587" width="13.7109375" bestFit="1" customWidth="1"/>
    <col min="3588" max="3588" width="12.5703125" bestFit="1" customWidth="1"/>
    <col min="3841" max="3841" width="23.5703125" customWidth="1"/>
    <col min="3842" max="3842" width="12.28515625" bestFit="1" customWidth="1"/>
    <col min="3843" max="3843" width="13.7109375" bestFit="1" customWidth="1"/>
    <col min="3844" max="3844" width="12.5703125" bestFit="1" customWidth="1"/>
    <col min="4097" max="4097" width="23.5703125" customWidth="1"/>
    <col min="4098" max="4098" width="12.28515625" bestFit="1" customWidth="1"/>
    <col min="4099" max="4099" width="13.7109375" bestFit="1" customWidth="1"/>
    <col min="4100" max="4100" width="12.5703125" bestFit="1" customWidth="1"/>
    <col min="4353" max="4353" width="23.5703125" customWidth="1"/>
    <col min="4354" max="4354" width="12.28515625" bestFit="1" customWidth="1"/>
    <col min="4355" max="4355" width="13.7109375" bestFit="1" customWidth="1"/>
    <col min="4356" max="4356" width="12.5703125" bestFit="1" customWidth="1"/>
    <col min="4609" max="4609" width="23.5703125" customWidth="1"/>
    <col min="4610" max="4610" width="12.28515625" bestFit="1" customWidth="1"/>
    <col min="4611" max="4611" width="13.7109375" bestFit="1" customWidth="1"/>
    <col min="4612" max="4612" width="12.5703125" bestFit="1" customWidth="1"/>
    <col min="4865" max="4865" width="23.5703125" customWidth="1"/>
    <col min="4866" max="4866" width="12.28515625" bestFit="1" customWidth="1"/>
    <col min="4867" max="4867" width="13.7109375" bestFit="1" customWidth="1"/>
    <col min="4868" max="4868" width="12.5703125" bestFit="1" customWidth="1"/>
    <col min="5121" max="5121" width="23.5703125" customWidth="1"/>
    <col min="5122" max="5122" width="12.28515625" bestFit="1" customWidth="1"/>
    <col min="5123" max="5123" width="13.7109375" bestFit="1" customWidth="1"/>
    <col min="5124" max="5124" width="12.5703125" bestFit="1" customWidth="1"/>
    <col min="5377" max="5377" width="23.5703125" customWidth="1"/>
    <col min="5378" max="5378" width="12.28515625" bestFit="1" customWidth="1"/>
    <col min="5379" max="5379" width="13.7109375" bestFit="1" customWidth="1"/>
    <col min="5380" max="5380" width="12.5703125" bestFit="1" customWidth="1"/>
    <col min="5633" max="5633" width="23.5703125" customWidth="1"/>
    <col min="5634" max="5634" width="12.28515625" bestFit="1" customWidth="1"/>
    <col min="5635" max="5635" width="13.7109375" bestFit="1" customWidth="1"/>
    <col min="5636" max="5636" width="12.5703125" bestFit="1" customWidth="1"/>
    <col min="5889" max="5889" width="23.5703125" customWidth="1"/>
    <col min="5890" max="5890" width="12.28515625" bestFit="1" customWidth="1"/>
    <col min="5891" max="5891" width="13.7109375" bestFit="1" customWidth="1"/>
    <col min="5892" max="5892" width="12.5703125" bestFit="1" customWidth="1"/>
    <col min="6145" max="6145" width="23.5703125" customWidth="1"/>
    <col min="6146" max="6146" width="12.28515625" bestFit="1" customWidth="1"/>
    <col min="6147" max="6147" width="13.7109375" bestFit="1" customWidth="1"/>
    <col min="6148" max="6148" width="12.5703125" bestFit="1" customWidth="1"/>
    <col min="6401" max="6401" width="23.5703125" customWidth="1"/>
    <col min="6402" max="6402" width="12.28515625" bestFit="1" customWidth="1"/>
    <col min="6403" max="6403" width="13.7109375" bestFit="1" customWidth="1"/>
    <col min="6404" max="6404" width="12.5703125" bestFit="1" customWidth="1"/>
    <col min="6657" max="6657" width="23.5703125" customWidth="1"/>
    <col min="6658" max="6658" width="12.28515625" bestFit="1" customWidth="1"/>
    <col min="6659" max="6659" width="13.7109375" bestFit="1" customWidth="1"/>
    <col min="6660" max="6660" width="12.5703125" bestFit="1" customWidth="1"/>
    <col min="6913" max="6913" width="23.5703125" customWidth="1"/>
    <col min="6914" max="6914" width="12.28515625" bestFit="1" customWidth="1"/>
    <col min="6915" max="6915" width="13.7109375" bestFit="1" customWidth="1"/>
    <col min="6916" max="6916" width="12.5703125" bestFit="1" customWidth="1"/>
    <col min="7169" max="7169" width="23.5703125" customWidth="1"/>
    <col min="7170" max="7170" width="12.28515625" bestFit="1" customWidth="1"/>
    <col min="7171" max="7171" width="13.7109375" bestFit="1" customWidth="1"/>
    <col min="7172" max="7172" width="12.5703125" bestFit="1" customWidth="1"/>
    <col min="7425" max="7425" width="23.5703125" customWidth="1"/>
    <col min="7426" max="7426" width="12.28515625" bestFit="1" customWidth="1"/>
    <col min="7427" max="7427" width="13.7109375" bestFit="1" customWidth="1"/>
    <col min="7428" max="7428" width="12.5703125" bestFit="1" customWidth="1"/>
    <col min="7681" max="7681" width="23.5703125" customWidth="1"/>
    <col min="7682" max="7682" width="12.28515625" bestFit="1" customWidth="1"/>
    <col min="7683" max="7683" width="13.7109375" bestFit="1" customWidth="1"/>
    <col min="7684" max="7684" width="12.5703125" bestFit="1" customWidth="1"/>
    <col min="7937" max="7937" width="23.5703125" customWidth="1"/>
    <col min="7938" max="7938" width="12.28515625" bestFit="1" customWidth="1"/>
    <col min="7939" max="7939" width="13.7109375" bestFit="1" customWidth="1"/>
    <col min="7940" max="7940" width="12.5703125" bestFit="1" customWidth="1"/>
    <col min="8193" max="8193" width="23.5703125" customWidth="1"/>
    <col min="8194" max="8194" width="12.28515625" bestFit="1" customWidth="1"/>
    <col min="8195" max="8195" width="13.7109375" bestFit="1" customWidth="1"/>
    <col min="8196" max="8196" width="12.5703125" bestFit="1" customWidth="1"/>
    <col min="8449" max="8449" width="23.5703125" customWidth="1"/>
    <col min="8450" max="8450" width="12.28515625" bestFit="1" customWidth="1"/>
    <col min="8451" max="8451" width="13.7109375" bestFit="1" customWidth="1"/>
    <col min="8452" max="8452" width="12.5703125" bestFit="1" customWidth="1"/>
    <col min="8705" max="8705" width="23.5703125" customWidth="1"/>
    <col min="8706" max="8706" width="12.28515625" bestFit="1" customWidth="1"/>
    <col min="8707" max="8707" width="13.7109375" bestFit="1" customWidth="1"/>
    <col min="8708" max="8708" width="12.5703125" bestFit="1" customWidth="1"/>
    <col min="8961" max="8961" width="23.5703125" customWidth="1"/>
    <col min="8962" max="8962" width="12.28515625" bestFit="1" customWidth="1"/>
    <col min="8963" max="8963" width="13.7109375" bestFit="1" customWidth="1"/>
    <col min="8964" max="8964" width="12.5703125" bestFit="1" customWidth="1"/>
    <col min="9217" max="9217" width="23.5703125" customWidth="1"/>
    <col min="9218" max="9218" width="12.28515625" bestFit="1" customWidth="1"/>
    <col min="9219" max="9219" width="13.7109375" bestFit="1" customWidth="1"/>
    <col min="9220" max="9220" width="12.5703125" bestFit="1" customWidth="1"/>
    <col min="9473" max="9473" width="23.5703125" customWidth="1"/>
    <col min="9474" max="9474" width="12.28515625" bestFit="1" customWidth="1"/>
    <col min="9475" max="9475" width="13.7109375" bestFit="1" customWidth="1"/>
    <col min="9476" max="9476" width="12.5703125" bestFit="1" customWidth="1"/>
    <col min="9729" max="9729" width="23.5703125" customWidth="1"/>
    <col min="9730" max="9730" width="12.28515625" bestFit="1" customWidth="1"/>
    <col min="9731" max="9731" width="13.7109375" bestFit="1" customWidth="1"/>
    <col min="9732" max="9732" width="12.5703125" bestFit="1" customWidth="1"/>
    <col min="9985" max="9985" width="23.5703125" customWidth="1"/>
    <col min="9986" max="9986" width="12.28515625" bestFit="1" customWidth="1"/>
    <col min="9987" max="9987" width="13.7109375" bestFit="1" customWidth="1"/>
    <col min="9988" max="9988" width="12.5703125" bestFit="1" customWidth="1"/>
    <col min="10241" max="10241" width="23.5703125" customWidth="1"/>
    <col min="10242" max="10242" width="12.28515625" bestFit="1" customWidth="1"/>
    <col min="10243" max="10243" width="13.7109375" bestFit="1" customWidth="1"/>
    <col min="10244" max="10244" width="12.5703125" bestFit="1" customWidth="1"/>
    <col min="10497" max="10497" width="23.5703125" customWidth="1"/>
    <col min="10498" max="10498" width="12.28515625" bestFit="1" customWidth="1"/>
    <col min="10499" max="10499" width="13.7109375" bestFit="1" customWidth="1"/>
    <col min="10500" max="10500" width="12.5703125" bestFit="1" customWidth="1"/>
    <col min="10753" max="10753" width="23.5703125" customWidth="1"/>
    <col min="10754" max="10754" width="12.28515625" bestFit="1" customWidth="1"/>
    <col min="10755" max="10755" width="13.7109375" bestFit="1" customWidth="1"/>
    <col min="10756" max="10756" width="12.5703125" bestFit="1" customWidth="1"/>
    <col min="11009" max="11009" width="23.5703125" customWidth="1"/>
    <col min="11010" max="11010" width="12.28515625" bestFit="1" customWidth="1"/>
    <col min="11011" max="11011" width="13.7109375" bestFit="1" customWidth="1"/>
    <col min="11012" max="11012" width="12.5703125" bestFit="1" customWidth="1"/>
    <col min="11265" max="11265" width="23.5703125" customWidth="1"/>
    <col min="11266" max="11266" width="12.28515625" bestFit="1" customWidth="1"/>
    <col min="11267" max="11267" width="13.7109375" bestFit="1" customWidth="1"/>
    <col min="11268" max="11268" width="12.5703125" bestFit="1" customWidth="1"/>
    <col min="11521" max="11521" width="23.5703125" customWidth="1"/>
    <col min="11522" max="11522" width="12.28515625" bestFit="1" customWidth="1"/>
    <col min="11523" max="11523" width="13.7109375" bestFit="1" customWidth="1"/>
    <col min="11524" max="11524" width="12.5703125" bestFit="1" customWidth="1"/>
    <col min="11777" max="11777" width="23.5703125" customWidth="1"/>
    <col min="11778" max="11778" width="12.28515625" bestFit="1" customWidth="1"/>
    <col min="11779" max="11779" width="13.7109375" bestFit="1" customWidth="1"/>
    <col min="11780" max="11780" width="12.5703125" bestFit="1" customWidth="1"/>
    <col min="12033" max="12033" width="23.5703125" customWidth="1"/>
    <col min="12034" max="12034" width="12.28515625" bestFit="1" customWidth="1"/>
    <col min="12035" max="12035" width="13.7109375" bestFit="1" customWidth="1"/>
    <col min="12036" max="12036" width="12.5703125" bestFit="1" customWidth="1"/>
    <col min="12289" max="12289" width="23.5703125" customWidth="1"/>
    <col min="12290" max="12290" width="12.28515625" bestFit="1" customWidth="1"/>
    <col min="12291" max="12291" width="13.7109375" bestFit="1" customWidth="1"/>
    <col min="12292" max="12292" width="12.5703125" bestFit="1" customWidth="1"/>
    <col min="12545" max="12545" width="23.5703125" customWidth="1"/>
    <col min="12546" max="12546" width="12.28515625" bestFit="1" customWidth="1"/>
    <col min="12547" max="12547" width="13.7109375" bestFit="1" customWidth="1"/>
    <col min="12548" max="12548" width="12.5703125" bestFit="1" customWidth="1"/>
    <col min="12801" max="12801" width="23.5703125" customWidth="1"/>
    <col min="12802" max="12802" width="12.28515625" bestFit="1" customWidth="1"/>
    <col min="12803" max="12803" width="13.7109375" bestFit="1" customWidth="1"/>
    <col min="12804" max="12804" width="12.5703125" bestFit="1" customWidth="1"/>
    <col min="13057" max="13057" width="23.5703125" customWidth="1"/>
    <col min="13058" max="13058" width="12.28515625" bestFit="1" customWidth="1"/>
    <col min="13059" max="13059" width="13.7109375" bestFit="1" customWidth="1"/>
    <col min="13060" max="13060" width="12.5703125" bestFit="1" customWidth="1"/>
    <col min="13313" max="13313" width="23.5703125" customWidth="1"/>
    <col min="13314" max="13314" width="12.28515625" bestFit="1" customWidth="1"/>
    <col min="13315" max="13315" width="13.7109375" bestFit="1" customWidth="1"/>
    <col min="13316" max="13316" width="12.5703125" bestFit="1" customWidth="1"/>
    <col min="13569" max="13569" width="23.5703125" customWidth="1"/>
    <col min="13570" max="13570" width="12.28515625" bestFit="1" customWidth="1"/>
    <col min="13571" max="13571" width="13.7109375" bestFit="1" customWidth="1"/>
    <col min="13572" max="13572" width="12.5703125" bestFit="1" customWidth="1"/>
    <col min="13825" max="13825" width="23.5703125" customWidth="1"/>
    <col min="13826" max="13826" width="12.28515625" bestFit="1" customWidth="1"/>
    <col min="13827" max="13827" width="13.7109375" bestFit="1" customWidth="1"/>
    <col min="13828" max="13828" width="12.5703125" bestFit="1" customWidth="1"/>
    <col min="14081" max="14081" width="23.5703125" customWidth="1"/>
    <col min="14082" max="14082" width="12.28515625" bestFit="1" customWidth="1"/>
    <col min="14083" max="14083" width="13.7109375" bestFit="1" customWidth="1"/>
    <col min="14084" max="14084" width="12.5703125" bestFit="1" customWidth="1"/>
    <col min="14337" max="14337" width="23.5703125" customWidth="1"/>
    <col min="14338" max="14338" width="12.28515625" bestFit="1" customWidth="1"/>
    <col min="14339" max="14339" width="13.7109375" bestFit="1" customWidth="1"/>
    <col min="14340" max="14340" width="12.5703125" bestFit="1" customWidth="1"/>
    <col min="14593" max="14593" width="23.5703125" customWidth="1"/>
    <col min="14594" max="14594" width="12.28515625" bestFit="1" customWidth="1"/>
    <col min="14595" max="14595" width="13.7109375" bestFit="1" customWidth="1"/>
    <col min="14596" max="14596" width="12.5703125" bestFit="1" customWidth="1"/>
    <col min="14849" max="14849" width="23.5703125" customWidth="1"/>
    <col min="14850" max="14850" width="12.28515625" bestFit="1" customWidth="1"/>
    <col min="14851" max="14851" width="13.7109375" bestFit="1" customWidth="1"/>
    <col min="14852" max="14852" width="12.5703125" bestFit="1" customWidth="1"/>
    <col min="15105" max="15105" width="23.5703125" customWidth="1"/>
    <col min="15106" max="15106" width="12.28515625" bestFit="1" customWidth="1"/>
    <col min="15107" max="15107" width="13.7109375" bestFit="1" customWidth="1"/>
    <col min="15108" max="15108" width="12.5703125" bestFit="1" customWidth="1"/>
    <col min="15361" max="15361" width="23.5703125" customWidth="1"/>
    <col min="15362" max="15362" width="12.28515625" bestFit="1" customWidth="1"/>
    <col min="15363" max="15363" width="13.7109375" bestFit="1" customWidth="1"/>
    <col min="15364" max="15364" width="12.5703125" bestFit="1" customWidth="1"/>
    <col min="15617" max="15617" width="23.5703125" customWidth="1"/>
    <col min="15618" max="15618" width="12.28515625" bestFit="1" customWidth="1"/>
    <col min="15619" max="15619" width="13.7109375" bestFit="1" customWidth="1"/>
    <col min="15620" max="15620" width="12.5703125" bestFit="1" customWidth="1"/>
    <col min="15873" max="15873" width="23.5703125" customWidth="1"/>
    <col min="15874" max="15874" width="12.28515625" bestFit="1" customWidth="1"/>
    <col min="15875" max="15875" width="13.7109375" bestFit="1" customWidth="1"/>
    <col min="15876" max="15876" width="12.5703125" bestFit="1" customWidth="1"/>
    <col min="16129" max="16129" width="23.5703125" customWidth="1"/>
    <col min="16130" max="16130" width="12.28515625" bestFit="1" customWidth="1"/>
    <col min="16131" max="16131" width="13.7109375" bestFit="1" customWidth="1"/>
    <col min="16132" max="16132" width="12.5703125" bestFit="1" customWidth="1"/>
  </cols>
  <sheetData>
    <row r="1" spans="1:2" ht="60" x14ac:dyDescent="0.25">
      <c r="A1" s="77" t="s">
        <v>742</v>
      </c>
    </row>
    <row r="3" spans="1:2" x14ac:dyDescent="0.25">
      <c r="A3" s="61" t="s">
        <v>606</v>
      </c>
    </row>
    <row r="5" spans="1:2" ht="15.75" thickBot="1" x14ac:dyDescent="0.3"/>
    <row r="6" spans="1:2" ht="15.75" thickBot="1" x14ac:dyDescent="0.3">
      <c r="A6" s="429" t="s">
        <v>607</v>
      </c>
      <c r="B6" s="430"/>
    </row>
    <row r="7" spans="1:2" ht="15.75" thickBot="1" x14ac:dyDescent="0.3">
      <c r="A7" s="62" t="s">
        <v>608</v>
      </c>
      <c r="B7" s="63">
        <f>B8*1.2</f>
        <v>675.6</v>
      </c>
    </row>
    <row r="8" spans="1:2" ht="15.75" thickBot="1" x14ac:dyDescent="0.3">
      <c r="A8" s="62" t="s">
        <v>390</v>
      </c>
      <c r="B8" s="64">
        <v>563</v>
      </c>
    </row>
    <row r="9" spans="1:2" ht="15.75" thickBot="1" x14ac:dyDescent="0.3">
      <c r="A9" s="62" t="s">
        <v>609</v>
      </c>
      <c r="B9" s="64">
        <v>281</v>
      </c>
    </row>
    <row r="10" spans="1:2" ht="15.75" thickBot="1" x14ac:dyDescent="0.3">
      <c r="A10" s="62" t="s">
        <v>610</v>
      </c>
      <c r="B10" s="64" t="s">
        <v>610</v>
      </c>
    </row>
    <row r="11" spans="1:2" ht="15.75" thickBot="1" x14ac:dyDescent="0.3">
      <c r="A11" s="62" t="s">
        <v>610</v>
      </c>
      <c r="B11" s="64" t="s">
        <v>610</v>
      </c>
    </row>
    <row r="12" spans="1:2" ht="15.75" thickBot="1" x14ac:dyDescent="0.3">
      <c r="A12" s="62" t="s">
        <v>611</v>
      </c>
      <c r="B12" s="64">
        <v>130</v>
      </c>
    </row>
    <row r="13" spans="1:2" ht="15.75" thickBot="1" x14ac:dyDescent="0.3"/>
    <row r="14" spans="1:2" ht="25.5" customHeight="1" thickBot="1" x14ac:dyDescent="0.3">
      <c r="A14" s="431" t="s">
        <v>612</v>
      </c>
      <c r="B14" s="432"/>
    </row>
    <row r="15" spans="1:2" ht="15.75" thickBot="1" x14ac:dyDescent="0.3">
      <c r="A15" s="62" t="s">
        <v>613</v>
      </c>
      <c r="B15" s="65">
        <v>1918</v>
      </c>
    </row>
    <row r="16" spans="1:2" ht="15.75" thickBot="1" x14ac:dyDescent="0.3">
      <c r="A16" s="66" t="s">
        <v>610</v>
      </c>
      <c r="B16" s="65" t="s">
        <v>610</v>
      </c>
    </row>
    <row r="17" spans="1:4" ht="15.75" thickBot="1" x14ac:dyDescent="0.3"/>
    <row r="18" spans="1:4" ht="26.25" customHeight="1" thickBot="1" x14ac:dyDescent="0.3">
      <c r="A18" s="423" t="s">
        <v>48</v>
      </c>
      <c r="B18" s="424"/>
      <c r="C18" s="425"/>
    </row>
    <row r="19" spans="1:4" x14ac:dyDescent="0.25">
      <c r="A19" s="426" t="s">
        <v>614</v>
      </c>
      <c r="B19" s="427"/>
      <c r="C19" s="428"/>
      <c r="D19">
        <v>3</v>
      </c>
    </row>
    <row r="20" spans="1:4" x14ac:dyDescent="0.25">
      <c r="A20" s="417" t="s">
        <v>615</v>
      </c>
      <c r="B20" s="418"/>
      <c r="C20" s="419"/>
      <c r="D20">
        <v>2</v>
      </c>
    </row>
    <row r="21" spans="1:4" x14ac:dyDescent="0.25">
      <c r="A21" s="417" t="s">
        <v>616</v>
      </c>
      <c r="B21" s="418"/>
      <c r="C21" s="419"/>
      <c r="D21">
        <v>3</v>
      </c>
    </row>
    <row r="22" spans="1:4" x14ac:dyDescent="0.25">
      <c r="A22" s="417" t="s">
        <v>610</v>
      </c>
      <c r="B22" s="418"/>
      <c r="C22" s="419"/>
    </row>
    <row r="23" spans="1:4" ht="15.75" thickBot="1" x14ac:dyDescent="0.3">
      <c r="A23" s="420" t="s">
        <v>617</v>
      </c>
      <c r="B23" s="421"/>
      <c r="C23" s="422"/>
      <c r="D23" s="9">
        <f>+'[2]Øvrig drift MDC05 '!F19</f>
        <v>107533.33333333333</v>
      </c>
    </row>
    <row r="24" spans="1:4" ht="15.75" thickBot="1" x14ac:dyDescent="0.3">
      <c r="A24" s="67"/>
      <c r="B24" s="64"/>
      <c r="C24" s="68" t="s">
        <v>618</v>
      </c>
    </row>
    <row r="25" spans="1:4" ht="15.75" thickBot="1" x14ac:dyDescent="0.3">
      <c r="A25" s="62" t="s">
        <v>619</v>
      </c>
      <c r="B25" s="69"/>
      <c r="C25" s="70">
        <f>D19*$B$15</f>
        <v>5754</v>
      </c>
    </row>
    <row r="26" spans="1:4" ht="15.75" thickBot="1" x14ac:dyDescent="0.3">
      <c r="A26" s="62" t="s">
        <v>620</v>
      </c>
      <c r="B26" s="69" t="s">
        <v>621</v>
      </c>
      <c r="C26" s="70">
        <f>$B$8*D20</f>
        <v>1126</v>
      </c>
    </row>
    <row r="27" spans="1:4" ht="15.75" thickBot="1" x14ac:dyDescent="0.3">
      <c r="A27" s="62"/>
      <c r="B27" s="69" t="s">
        <v>609</v>
      </c>
      <c r="C27" s="71">
        <f>$B$9*D21*D20</f>
        <v>1686</v>
      </c>
    </row>
    <row r="28" spans="1:4" ht="15.75" thickBot="1" x14ac:dyDescent="0.3">
      <c r="A28" s="62"/>
      <c r="B28" s="69" t="s">
        <v>622</v>
      </c>
      <c r="C28" s="70">
        <v>0</v>
      </c>
    </row>
    <row r="29" spans="1:4" ht="15.75" thickBot="1" x14ac:dyDescent="0.3">
      <c r="A29" s="62"/>
      <c r="B29" s="69" t="s">
        <v>623</v>
      </c>
      <c r="C29" s="71">
        <v>0</v>
      </c>
    </row>
    <row r="30" spans="1:4" ht="15.75" thickBot="1" x14ac:dyDescent="0.3">
      <c r="A30" s="62"/>
      <c r="B30" s="69" t="s">
        <v>624</v>
      </c>
      <c r="C30" s="71">
        <v>0</v>
      </c>
    </row>
    <row r="31" spans="1:4" ht="15.75" thickBot="1" x14ac:dyDescent="0.3">
      <c r="A31" s="62" t="s">
        <v>611</v>
      </c>
      <c r="B31" s="69"/>
      <c r="C31" s="71">
        <f>$B$12</f>
        <v>130</v>
      </c>
    </row>
    <row r="32" spans="1:4" ht="15.75" thickBot="1" x14ac:dyDescent="0.3">
      <c r="A32" s="62" t="s">
        <v>389</v>
      </c>
      <c r="B32" s="69"/>
      <c r="C32" s="70">
        <v>0</v>
      </c>
      <c r="D32" t="s">
        <v>625</v>
      </c>
    </row>
    <row r="33" spans="1:4" ht="15.75" thickBot="1" x14ac:dyDescent="0.3">
      <c r="A33" s="62" t="str">
        <f>A23</f>
        <v>Øvrig drift</v>
      </c>
      <c r="B33" s="69"/>
      <c r="C33" s="70">
        <f>D23</f>
        <v>107533.33333333333</v>
      </c>
    </row>
    <row r="34" spans="1:4" ht="15.75" thickBot="1" x14ac:dyDescent="0.3">
      <c r="A34" s="72" t="s">
        <v>125</v>
      </c>
      <c r="B34" s="69"/>
      <c r="C34" s="73">
        <f>SUM(C25:C33)</f>
        <v>116229.33333333333</v>
      </c>
    </row>
    <row r="36" spans="1:4" ht="15.75" thickBot="1" x14ac:dyDescent="0.3"/>
    <row r="37" spans="1:4" ht="16.5" thickBot="1" x14ac:dyDescent="0.3">
      <c r="A37" s="423" t="s">
        <v>626</v>
      </c>
      <c r="B37" s="424"/>
      <c r="C37" s="425"/>
    </row>
    <row r="38" spans="1:4" x14ac:dyDescent="0.25">
      <c r="A38" s="426" t="s">
        <v>627</v>
      </c>
      <c r="B38" s="427"/>
      <c r="C38" s="428"/>
      <c r="D38">
        <v>1</v>
      </c>
    </row>
    <row r="39" spans="1:4" x14ac:dyDescent="0.25">
      <c r="A39" s="417" t="s">
        <v>628</v>
      </c>
      <c r="B39" s="418"/>
      <c r="C39" s="419"/>
      <c r="D39">
        <v>1</v>
      </c>
    </row>
    <row r="40" spans="1:4" x14ac:dyDescent="0.25">
      <c r="A40" s="417" t="s">
        <v>629</v>
      </c>
      <c r="B40" s="418"/>
      <c r="C40" s="419"/>
      <c r="D40">
        <v>2</v>
      </c>
    </row>
    <row r="41" spans="1:4" x14ac:dyDescent="0.25">
      <c r="A41" s="417">
        <v>0</v>
      </c>
      <c r="B41" s="418"/>
      <c r="C41" s="419"/>
    </row>
    <row r="42" spans="1:4" ht="15.75" thickBot="1" x14ac:dyDescent="0.3">
      <c r="A42" s="420" t="s">
        <v>617</v>
      </c>
      <c r="B42" s="421"/>
      <c r="C42" s="422"/>
      <c r="D42">
        <f>+'[2]Øvrig drift MDC05 '!P40</f>
        <v>2230</v>
      </c>
    </row>
    <row r="43" spans="1:4" ht="15.75" thickBot="1" x14ac:dyDescent="0.3">
      <c r="A43" s="67"/>
      <c r="B43" s="64"/>
      <c r="C43" s="68" t="s">
        <v>618</v>
      </c>
    </row>
    <row r="44" spans="1:4" ht="15.75" thickBot="1" x14ac:dyDescent="0.3">
      <c r="A44" s="62" t="s">
        <v>619</v>
      </c>
      <c r="B44" s="69"/>
      <c r="C44" s="70">
        <f>D38*$B$15</f>
        <v>1918</v>
      </c>
    </row>
    <row r="45" spans="1:4" ht="15.75" thickBot="1" x14ac:dyDescent="0.3">
      <c r="A45" s="62" t="s">
        <v>620</v>
      </c>
      <c r="B45" s="69" t="s">
        <v>621</v>
      </c>
      <c r="C45" s="70">
        <f>$B$8*D39</f>
        <v>563</v>
      </c>
    </row>
    <row r="46" spans="1:4" ht="15.75" thickBot="1" x14ac:dyDescent="0.3">
      <c r="A46" s="62"/>
      <c r="B46" s="69" t="s">
        <v>609</v>
      </c>
      <c r="C46" s="71">
        <f>$B$9*D40*D39</f>
        <v>562</v>
      </c>
    </row>
    <row r="47" spans="1:4" ht="15.75" thickBot="1" x14ac:dyDescent="0.3">
      <c r="A47" s="62"/>
      <c r="B47" s="69" t="s">
        <v>622</v>
      </c>
      <c r="C47" s="70">
        <v>0</v>
      </c>
    </row>
    <row r="48" spans="1:4" ht="15.75" thickBot="1" x14ac:dyDescent="0.3">
      <c r="A48" s="62"/>
      <c r="B48" s="69" t="s">
        <v>623</v>
      </c>
      <c r="C48" s="71">
        <v>0</v>
      </c>
    </row>
    <row r="49" spans="1:5" ht="15.75" thickBot="1" x14ac:dyDescent="0.3">
      <c r="A49" s="62"/>
      <c r="B49" s="69" t="s">
        <v>624</v>
      </c>
      <c r="C49" s="71">
        <v>0</v>
      </c>
    </row>
    <row r="50" spans="1:5" ht="15.75" thickBot="1" x14ac:dyDescent="0.3">
      <c r="A50" s="62" t="s">
        <v>611</v>
      </c>
      <c r="B50" s="69"/>
      <c r="C50" s="71">
        <f>$B$12</f>
        <v>130</v>
      </c>
    </row>
    <row r="51" spans="1:5" ht="15.75" thickBot="1" x14ac:dyDescent="0.3">
      <c r="A51" s="62" t="s">
        <v>389</v>
      </c>
      <c r="B51" s="69"/>
      <c r="C51" s="70">
        <v>0</v>
      </c>
    </row>
    <row r="52" spans="1:5" ht="15.75" thickBot="1" x14ac:dyDescent="0.3">
      <c r="A52" s="62" t="str">
        <f>A42</f>
        <v>Øvrig drift</v>
      </c>
      <c r="B52" s="69"/>
      <c r="C52" s="70">
        <f>D42</f>
        <v>2230</v>
      </c>
    </row>
    <row r="53" spans="1:5" ht="15.75" thickBot="1" x14ac:dyDescent="0.3">
      <c r="A53" s="72" t="s">
        <v>125</v>
      </c>
      <c r="B53" s="69"/>
      <c r="C53" s="73">
        <f>SUM(C44:C52)</f>
        <v>5403</v>
      </c>
      <c r="E53" s="9"/>
    </row>
    <row r="54" spans="1:5" ht="15.75" thickBot="1" x14ac:dyDescent="0.3"/>
    <row r="55" spans="1:5" ht="16.5" thickBot="1" x14ac:dyDescent="0.3">
      <c r="A55" s="423" t="s">
        <v>630</v>
      </c>
      <c r="B55" s="424"/>
      <c r="C55" s="425"/>
    </row>
    <row r="56" spans="1:5" x14ac:dyDescent="0.25">
      <c r="A56" s="426" t="s">
        <v>614</v>
      </c>
      <c r="B56" s="427"/>
      <c r="C56" s="428"/>
      <c r="D56">
        <v>3</v>
      </c>
    </row>
    <row r="57" spans="1:5" x14ac:dyDescent="0.25">
      <c r="A57" s="417" t="s">
        <v>631</v>
      </c>
      <c r="B57" s="418"/>
      <c r="C57" s="419"/>
      <c r="D57">
        <v>4</v>
      </c>
    </row>
    <row r="58" spans="1:5" x14ac:dyDescent="0.25">
      <c r="A58" s="417" t="s">
        <v>632</v>
      </c>
      <c r="B58" s="418"/>
      <c r="C58" s="419"/>
      <c r="D58">
        <v>4</v>
      </c>
    </row>
    <row r="59" spans="1:5" x14ac:dyDescent="0.25">
      <c r="A59" s="417">
        <v>0</v>
      </c>
      <c r="B59" s="418"/>
      <c r="C59" s="419"/>
    </row>
    <row r="60" spans="1:5" ht="15.75" thickBot="1" x14ac:dyDescent="0.3">
      <c r="A60" s="420" t="s">
        <v>617</v>
      </c>
      <c r="B60" s="421"/>
      <c r="C60" s="422"/>
      <c r="D60" s="9">
        <f>+'[2]Øvrig drift MDC05 '!B121</f>
        <v>52808.5</v>
      </c>
    </row>
    <row r="61" spans="1:5" ht="15.75" thickBot="1" x14ac:dyDescent="0.3">
      <c r="A61" s="67"/>
      <c r="B61" s="64"/>
      <c r="C61" s="68" t="s">
        <v>618</v>
      </c>
    </row>
    <row r="62" spans="1:5" ht="15.75" thickBot="1" x14ac:dyDescent="0.3">
      <c r="A62" s="62" t="s">
        <v>619</v>
      </c>
      <c r="B62" s="69"/>
      <c r="C62" s="70">
        <f>D56*$B$15</f>
        <v>5754</v>
      </c>
    </row>
    <row r="63" spans="1:5" ht="15.75" thickBot="1" x14ac:dyDescent="0.3">
      <c r="A63" s="62" t="s">
        <v>620</v>
      </c>
      <c r="B63" s="69" t="s">
        <v>621</v>
      </c>
      <c r="C63" s="70">
        <f>$B$7*D57</f>
        <v>2702.4</v>
      </c>
    </row>
    <row r="64" spans="1:5" ht="15.75" thickBot="1" x14ac:dyDescent="0.3">
      <c r="A64" s="62"/>
      <c r="B64" s="69" t="s">
        <v>609</v>
      </c>
      <c r="C64" s="71">
        <f>$B$9*D58*D57</f>
        <v>4496</v>
      </c>
    </row>
    <row r="65" spans="1:9" ht="15.75" thickBot="1" x14ac:dyDescent="0.3">
      <c r="A65" s="62"/>
      <c r="B65" s="69" t="s">
        <v>622</v>
      </c>
      <c r="C65" s="70">
        <v>0</v>
      </c>
    </row>
    <row r="66" spans="1:9" ht="15.75" thickBot="1" x14ac:dyDescent="0.3">
      <c r="A66" s="62"/>
      <c r="B66" s="69" t="s">
        <v>623</v>
      </c>
      <c r="C66" s="71">
        <v>0</v>
      </c>
    </row>
    <row r="67" spans="1:9" ht="15.75" thickBot="1" x14ac:dyDescent="0.3">
      <c r="A67" s="62"/>
      <c r="B67" s="69" t="s">
        <v>624</v>
      </c>
      <c r="C67" s="71">
        <v>0</v>
      </c>
    </row>
    <row r="68" spans="1:9" ht="15.75" thickBot="1" x14ac:dyDescent="0.3">
      <c r="A68" s="62" t="s">
        <v>611</v>
      </c>
      <c r="B68" s="69"/>
      <c r="C68" s="71">
        <f>$B$12</f>
        <v>130</v>
      </c>
    </row>
    <row r="69" spans="1:9" ht="15.75" thickBot="1" x14ac:dyDescent="0.3">
      <c r="A69" s="62" t="s">
        <v>389</v>
      </c>
      <c r="B69" s="69"/>
      <c r="C69" s="70">
        <v>1000</v>
      </c>
    </row>
    <row r="70" spans="1:9" ht="15.75" thickBot="1" x14ac:dyDescent="0.3">
      <c r="A70" s="62" t="str">
        <f>A60</f>
        <v>Øvrig drift</v>
      </c>
      <c r="B70" s="69"/>
      <c r="C70" s="70">
        <f>D60</f>
        <v>52808.5</v>
      </c>
      <c r="D70" s="9" t="s">
        <v>610</v>
      </c>
    </row>
    <row r="71" spans="1:9" ht="15.75" thickBot="1" x14ac:dyDescent="0.3">
      <c r="A71" s="72" t="s">
        <v>125</v>
      </c>
      <c r="B71" s="69"/>
      <c r="C71" s="73">
        <f>SUM(C62:C70)</f>
        <v>66890.899999999994</v>
      </c>
      <c r="E71" t="s">
        <v>610</v>
      </c>
      <c r="F71" t="s">
        <v>610</v>
      </c>
      <c r="G71" t="s">
        <v>610</v>
      </c>
      <c r="I71" t="s">
        <v>610</v>
      </c>
    </row>
    <row r="72" spans="1:9" ht="15.75" thickBot="1" x14ac:dyDescent="0.3"/>
    <row r="73" spans="1:9" ht="16.5" thickBot="1" x14ac:dyDescent="0.3">
      <c r="A73" s="423" t="s">
        <v>42</v>
      </c>
      <c r="B73" s="424"/>
      <c r="C73" s="425"/>
    </row>
    <row r="74" spans="1:9" x14ac:dyDescent="0.25">
      <c r="A74" s="426" t="s">
        <v>614</v>
      </c>
      <c r="B74" s="427"/>
      <c r="C74" s="428"/>
      <c r="D74">
        <v>3</v>
      </c>
    </row>
    <row r="75" spans="1:9" x14ac:dyDescent="0.25">
      <c r="A75" s="417" t="s">
        <v>631</v>
      </c>
      <c r="B75" s="418"/>
      <c r="C75" s="419"/>
      <c r="D75">
        <v>4</v>
      </c>
    </row>
    <row r="76" spans="1:9" x14ac:dyDescent="0.25">
      <c r="A76" s="417" t="s">
        <v>632</v>
      </c>
      <c r="B76" s="418"/>
      <c r="C76" s="419"/>
      <c r="D76">
        <v>4</v>
      </c>
    </row>
    <row r="77" spans="1:9" x14ac:dyDescent="0.25">
      <c r="A77" s="417">
        <v>0</v>
      </c>
      <c r="B77" s="418"/>
      <c r="C77" s="419"/>
    </row>
    <row r="78" spans="1:9" ht="15.75" thickBot="1" x14ac:dyDescent="0.3">
      <c r="A78" s="420" t="s">
        <v>617</v>
      </c>
      <c r="B78" s="421"/>
      <c r="C78" s="422"/>
      <c r="D78" s="9">
        <f>+'[2]Øvrig drift MDC05 '!B120</f>
        <v>24357.25</v>
      </c>
    </row>
    <row r="79" spans="1:9" ht="15.75" thickBot="1" x14ac:dyDescent="0.3">
      <c r="A79" s="67"/>
      <c r="B79" s="64"/>
      <c r="C79" s="68" t="s">
        <v>618</v>
      </c>
      <c r="D79" s="9" t="s">
        <v>610</v>
      </c>
    </row>
    <row r="80" spans="1:9" ht="15.75" thickBot="1" x14ac:dyDescent="0.3">
      <c r="A80" s="62" t="s">
        <v>619</v>
      </c>
      <c r="B80" s="69"/>
      <c r="C80" s="70">
        <f>D74*$B$15</f>
        <v>5754</v>
      </c>
    </row>
    <row r="81" spans="1:4" ht="15.75" thickBot="1" x14ac:dyDescent="0.3">
      <c r="A81" s="62" t="s">
        <v>620</v>
      </c>
      <c r="B81" s="69" t="s">
        <v>621</v>
      </c>
      <c r="C81" s="70">
        <f>$B$7*D75</f>
        <v>2702.4</v>
      </c>
    </row>
    <row r="82" spans="1:4" ht="15.75" thickBot="1" x14ac:dyDescent="0.3">
      <c r="A82" s="62"/>
      <c r="B82" s="69" t="s">
        <v>609</v>
      </c>
      <c r="C82" s="71">
        <f>$B$9*D76*D75</f>
        <v>4496</v>
      </c>
    </row>
    <row r="83" spans="1:4" ht="15.75" thickBot="1" x14ac:dyDescent="0.3">
      <c r="A83" s="62"/>
      <c r="B83" s="69" t="s">
        <v>622</v>
      </c>
      <c r="C83" s="70">
        <v>0</v>
      </c>
    </row>
    <row r="84" spans="1:4" ht="15.75" thickBot="1" x14ac:dyDescent="0.3">
      <c r="A84" s="62"/>
      <c r="B84" s="69" t="s">
        <v>623</v>
      </c>
      <c r="C84" s="71">
        <v>0</v>
      </c>
    </row>
    <row r="85" spans="1:4" ht="15.75" thickBot="1" x14ac:dyDescent="0.3">
      <c r="A85" s="62"/>
      <c r="B85" s="69" t="s">
        <v>624</v>
      </c>
      <c r="C85" s="71">
        <v>0</v>
      </c>
    </row>
    <row r="86" spans="1:4" ht="15.75" thickBot="1" x14ac:dyDescent="0.3">
      <c r="A86" s="62" t="s">
        <v>611</v>
      </c>
      <c r="B86" s="69"/>
      <c r="C86" s="71">
        <f>$B$12</f>
        <v>130</v>
      </c>
    </row>
    <row r="87" spans="1:4" ht="15.75" thickBot="1" x14ac:dyDescent="0.3">
      <c r="A87" s="62" t="s">
        <v>389</v>
      </c>
      <c r="B87" s="69"/>
      <c r="C87" s="70">
        <v>1000</v>
      </c>
    </row>
    <row r="88" spans="1:4" ht="15.75" thickBot="1" x14ac:dyDescent="0.3">
      <c r="A88" s="62" t="str">
        <f>A78</f>
        <v>Øvrig drift</v>
      </c>
      <c r="B88" s="69"/>
      <c r="C88" s="70">
        <f>D78</f>
        <v>24357.25</v>
      </c>
      <c r="D88" s="9" t="s">
        <v>610</v>
      </c>
    </row>
    <row r="89" spans="1:4" ht="15.75" thickBot="1" x14ac:dyDescent="0.3">
      <c r="A89" s="72" t="s">
        <v>125</v>
      </c>
      <c r="B89" s="69"/>
      <c r="C89" s="73">
        <f>SUM(C80:C88)</f>
        <v>38439.65</v>
      </c>
    </row>
    <row r="90" spans="1:4" ht="15.75" thickBot="1" x14ac:dyDescent="0.3">
      <c r="A90" s="74"/>
      <c r="B90" s="75"/>
      <c r="C90" s="76"/>
    </row>
  </sheetData>
  <mergeCells count="26">
    <mergeCell ref="A21:C21"/>
    <mergeCell ref="A6:B6"/>
    <mergeCell ref="A14:B14"/>
    <mergeCell ref="A18:C18"/>
    <mergeCell ref="A19:C19"/>
    <mergeCell ref="A20:C20"/>
    <mergeCell ref="A58:C58"/>
    <mergeCell ref="A22:C22"/>
    <mergeCell ref="A23:C23"/>
    <mergeCell ref="A37:C37"/>
    <mergeCell ref="A38:C38"/>
    <mergeCell ref="A39:C39"/>
    <mergeCell ref="A40:C40"/>
    <mergeCell ref="A41:C41"/>
    <mergeCell ref="A42:C42"/>
    <mergeCell ref="A55:C55"/>
    <mergeCell ref="A56:C56"/>
    <mergeCell ref="A57:C57"/>
    <mergeCell ref="A77:C77"/>
    <mergeCell ref="A78:C78"/>
    <mergeCell ref="A59:C59"/>
    <mergeCell ref="A60:C60"/>
    <mergeCell ref="A73:C73"/>
    <mergeCell ref="A74:C74"/>
    <mergeCell ref="A75:C75"/>
    <mergeCell ref="A76:C7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workbookViewId="0"/>
  </sheetViews>
  <sheetFormatPr defaultRowHeight="15" x14ac:dyDescent="0.25"/>
  <cols>
    <col min="1" max="1" width="59.28515625" customWidth="1"/>
    <col min="8" max="8" width="48.7109375" customWidth="1"/>
    <col min="9" max="9" width="11" customWidth="1"/>
    <col min="257" max="257" width="59.28515625" customWidth="1"/>
    <col min="264" max="264" width="48.7109375" customWidth="1"/>
    <col min="265" max="265" width="11" customWidth="1"/>
    <col min="513" max="513" width="59.28515625" customWidth="1"/>
    <col min="520" max="520" width="48.7109375" customWidth="1"/>
    <col min="521" max="521" width="11" customWidth="1"/>
    <col min="769" max="769" width="59.28515625" customWidth="1"/>
    <col min="776" max="776" width="48.7109375" customWidth="1"/>
    <col min="777" max="777" width="11" customWidth="1"/>
    <col min="1025" max="1025" width="59.28515625" customWidth="1"/>
    <col min="1032" max="1032" width="48.7109375" customWidth="1"/>
    <col min="1033" max="1033" width="11" customWidth="1"/>
    <col min="1281" max="1281" width="59.28515625" customWidth="1"/>
    <col min="1288" max="1288" width="48.7109375" customWidth="1"/>
    <col min="1289" max="1289" width="11" customWidth="1"/>
    <col min="1537" max="1537" width="59.28515625" customWidth="1"/>
    <col min="1544" max="1544" width="48.7109375" customWidth="1"/>
    <col min="1545" max="1545" width="11" customWidth="1"/>
    <col min="1793" max="1793" width="59.28515625" customWidth="1"/>
    <col min="1800" max="1800" width="48.7109375" customWidth="1"/>
    <col min="1801" max="1801" width="11" customWidth="1"/>
    <col min="2049" max="2049" width="59.28515625" customWidth="1"/>
    <col min="2056" max="2056" width="48.7109375" customWidth="1"/>
    <col min="2057" max="2057" width="11" customWidth="1"/>
    <col min="2305" max="2305" width="59.28515625" customWidth="1"/>
    <col min="2312" max="2312" width="48.7109375" customWidth="1"/>
    <col min="2313" max="2313" width="11" customWidth="1"/>
    <col min="2561" max="2561" width="59.28515625" customWidth="1"/>
    <col min="2568" max="2568" width="48.7109375" customWidth="1"/>
    <col min="2569" max="2569" width="11" customWidth="1"/>
    <col min="2817" max="2817" width="59.28515625" customWidth="1"/>
    <col min="2824" max="2824" width="48.7109375" customWidth="1"/>
    <col min="2825" max="2825" width="11" customWidth="1"/>
    <col min="3073" max="3073" width="59.28515625" customWidth="1"/>
    <col min="3080" max="3080" width="48.7109375" customWidth="1"/>
    <col min="3081" max="3081" width="11" customWidth="1"/>
    <col min="3329" max="3329" width="59.28515625" customWidth="1"/>
    <col min="3336" max="3336" width="48.7109375" customWidth="1"/>
    <col min="3337" max="3337" width="11" customWidth="1"/>
    <col min="3585" max="3585" width="59.28515625" customWidth="1"/>
    <col min="3592" max="3592" width="48.7109375" customWidth="1"/>
    <col min="3593" max="3593" width="11" customWidth="1"/>
    <col min="3841" max="3841" width="59.28515625" customWidth="1"/>
    <col min="3848" max="3848" width="48.7109375" customWidth="1"/>
    <col min="3849" max="3849" width="11" customWidth="1"/>
    <col min="4097" max="4097" width="59.28515625" customWidth="1"/>
    <col min="4104" max="4104" width="48.7109375" customWidth="1"/>
    <col min="4105" max="4105" width="11" customWidth="1"/>
    <col min="4353" max="4353" width="59.28515625" customWidth="1"/>
    <col min="4360" max="4360" width="48.7109375" customWidth="1"/>
    <col min="4361" max="4361" width="11" customWidth="1"/>
    <col min="4609" max="4609" width="59.28515625" customWidth="1"/>
    <col min="4616" max="4616" width="48.7109375" customWidth="1"/>
    <col min="4617" max="4617" width="11" customWidth="1"/>
    <col min="4865" max="4865" width="59.28515625" customWidth="1"/>
    <col min="4872" max="4872" width="48.7109375" customWidth="1"/>
    <col min="4873" max="4873" width="11" customWidth="1"/>
    <col min="5121" max="5121" width="59.28515625" customWidth="1"/>
    <col min="5128" max="5128" width="48.7109375" customWidth="1"/>
    <col min="5129" max="5129" width="11" customWidth="1"/>
    <col min="5377" max="5377" width="59.28515625" customWidth="1"/>
    <col min="5384" max="5384" width="48.7109375" customWidth="1"/>
    <col min="5385" max="5385" width="11" customWidth="1"/>
    <col min="5633" max="5633" width="59.28515625" customWidth="1"/>
    <col min="5640" max="5640" width="48.7109375" customWidth="1"/>
    <col min="5641" max="5641" width="11" customWidth="1"/>
    <col min="5889" max="5889" width="59.28515625" customWidth="1"/>
    <col min="5896" max="5896" width="48.7109375" customWidth="1"/>
    <col min="5897" max="5897" width="11" customWidth="1"/>
    <col min="6145" max="6145" width="59.28515625" customWidth="1"/>
    <col min="6152" max="6152" width="48.7109375" customWidth="1"/>
    <col min="6153" max="6153" width="11" customWidth="1"/>
    <col min="6401" max="6401" width="59.28515625" customWidth="1"/>
    <col min="6408" max="6408" width="48.7109375" customWidth="1"/>
    <col min="6409" max="6409" width="11" customWidth="1"/>
    <col min="6657" max="6657" width="59.28515625" customWidth="1"/>
    <col min="6664" max="6664" width="48.7109375" customWidth="1"/>
    <col min="6665" max="6665" width="11" customWidth="1"/>
    <col min="6913" max="6913" width="59.28515625" customWidth="1"/>
    <col min="6920" max="6920" width="48.7109375" customWidth="1"/>
    <col min="6921" max="6921" width="11" customWidth="1"/>
    <col min="7169" max="7169" width="59.28515625" customWidth="1"/>
    <col min="7176" max="7176" width="48.7109375" customWidth="1"/>
    <col min="7177" max="7177" width="11" customWidth="1"/>
    <col min="7425" max="7425" width="59.28515625" customWidth="1"/>
    <col min="7432" max="7432" width="48.7109375" customWidth="1"/>
    <col min="7433" max="7433" width="11" customWidth="1"/>
    <col min="7681" max="7681" width="59.28515625" customWidth="1"/>
    <col min="7688" max="7688" width="48.7109375" customWidth="1"/>
    <col min="7689" max="7689" width="11" customWidth="1"/>
    <col min="7937" max="7937" width="59.28515625" customWidth="1"/>
    <col min="7944" max="7944" width="48.7109375" customWidth="1"/>
    <col min="7945" max="7945" width="11" customWidth="1"/>
    <col min="8193" max="8193" width="59.28515625" customWidth="1"/>
    <col min="8200" max="8200" width="48.7109375" customWidth="1"/>
    <col min="8201" max="8201" width="11" customWidth="1"/>
    <col min="8449" max="8449" width="59.28515625" customWidth="1"/>
    <col min="8456" max="8456" width="48.7109375" customWidth="1"/>
    <col min="8457" max="8457" width="11" customWidth="1"/>
    <col min="8705" max="8705" width="59.28515625" customWidth="1"/>
    <col min="8712" max="8712" width="48.7109375" customWidth="1"/>
    <col min="8713" max="8713" width="11" customWidth="1"/>
    <col min="8961" max="8961" width="59.28515625" customWidth="1"/>
    <col min="8968" max="8968" width="48.7109375" customWidth="1"/>
    <col min="8969" max="8969" width="11" customWidth="1"/>
    <col min="9217" max="9217" width="59.28515625" customWidth="1"/>
    <col min="9224" max="9224" width="48.7109375" customWidth="1"/>
    <col min="9225" max="9225" width="11" customWidth="1"/>
    <col min="9473" max="9473" width="59.28515625" customWidth="1"/>
    <col min="9480" max="9480" width="48.7109375" customWidth="1"/>
    <col min="9481" max="9481" width="11" customWidth="1"/>
    <col min="9729" max="9729" width="59.28515625" customWidth="1"/>
    <col min="9736" max="9736" width="48.7109375" customWidth="1"/>
    <col min="9737" max="9737" width="11" customWidth="1"/>
    <col min="9985" max="9985" width="59.28515625" customWidth="1"/>
    <col min="9992" max="9992" width="48.7109375" customWidth="1"/>
    <col min="9993" max="9993" width="11" customWidth="1"/>
    <col min="10241" max="10241" width="59.28515625" customWidth="1"/>
    <col min="10248" max="10248" width="48.7109375" customWidth="1"/>
    <col min="10249" max="10249" width="11" customWidth="1"/>
    <col min="10497" max="10497" width="59.28515625" customWidth="1"/>
    <col min="10504" max="10504" width="48.7109375" customWidth="1"/>
    <col min="10505" max="10505" width="11" customWidth="1"/>
    <col min="10753" max="10753" width="59.28515625" customWidth="1"/>
    <col min="10760" max="10760" width="48.7109375" customWidth="1"/>
    <col min="10761" max="10761" width="11" customWidth="1"/>
    <col min="11009" max="11009" width="59.28515625" customWidth="1"/>
    <col min="11016" max="11016" width="48.7109375" customWidth="1"/>
    <col min="11017" max="11017" width="11" customWidth="1"/>
    <col min="11265" max="11265" width="59.28515625" customWidth="1"/>
    <col min="11272" max="11272" width="48.7109375" customWidth="1"/>
    <col min="11273" max="11273" width="11" customWidth="1"/>
    <col min="11521" max="11521" width="59.28515625" customWidth="1"/>
    <col min="11528" max="11528" width="48.7109375" customWidth="1"/>
    <col min="11529" max="11529" width="11" customWidth="1"/>
    <col min="11777" max="11777" width="59.28515625" customWidth="1"/>
    <col min="11784" max="11784" width="48.7109375" customWidth="1"/>
    <col min="11785" max="11785" width="11" customWidth="1"/>
    <col min="12033" max="12033" width="59.28515625" customWidth="1"/>
    <col min="12040" max="12040" width="48.7109375" customWidth="1"/>
    <col min="12041" max="12041" width="11" customWidth="1"/>
    <col min="12289" max="12289" width="59.28515625" customWidth="1"/>
    <col min="12296" max="12296" width="48.7109375" customWidth="1"/>
    <col min="12297" max="12297" width="11" customWidth="1"/>
    <col min="12545" max="12545" width="59.28515625" customWidth="1"/>
    <col min="12552" max="12552" width="48.7109375" customWidth="1"/>
    <col min="12553" max="12553" width="11" customWidth="1"/>
    <col min="12801" max="12801" width="59.28515625" customWidth="1"/>
    <col min="12808" max="12808" width="48.7109375" customWidth="1"/>
    <col min="12809" max="12809" width="11" customWidth="1"/>
    <col min="13057" max="13057" width="59.28515625" customWidth="1"/>
    <col min="13064" max="13064" width="48.7109375" customWidth="1"/>
    <col min="13065" max="13065" width="11" customWidth="1"/>
    <col min="13313" max="13313" width="59.28515625" customWidth="1"/>
    <col min="13320" max="13320" width="48.7109375" customWidth="1"/>
    <col min="13321" max="13321" width="11" customWidth="1"/>
    <col min="13569" max="13569" width="59.28515625" customWidth="1"/>
    <col min="13576" max="13576" width="48.7109375" customWidth="1"/>
    <col min="13577" max="13577" width="11" customWidth="1"/>
    <col min="13825" max="13825" width="59.28515625" customWidth="1"/>
    <col min="13832" max="13832" width="48.7109375" customWidth="1"/>
    <col min="13833" max="13833" width="11" customWidth="1"/>
    <col min="14081" max="14081" width="59.28515625" customWidth="1"/>
    <col min="14088" max="14088" width="48.7109375" customWidth="1"/>
    <col min="14089" max="14089" width="11" customWidth="1"/>
    <col min="14337" max="14337" width="59.28515625" customWidth="1"/>
    <col min="14344" max="14344" width="48.7109375" customWidth="1"/>
    <col min="14345" max="14345" width="11" customWidth="1"/>
    <col min="14593" max="14593" width="59.28515625" customWidth="1"/>
    <col min="14600" max="14600" width="48.7109375" customWidth="1"/>
    <col min="14601" max="14601" width="11" customWidth="1"/>
    <col min="14849" max="14849" width="59.28515625" customWidth="1"/>
    <col min="14856" max="14856" width="48.7109375" customWidth="1"/>
    <col min="14857" max="14857" width="11" customWidth="1"/>
    <col min="15105" max="15105" width="59.28515625" customWidth="1"/>
    <col min="15112" max="15112" width="48.7109375" customWidth="1"/>
    <col min="15113" max="15113" width="11" customWidth="1"/>
    <col min="15361" max="15361" width="59.28515625" customWidth="1"/>
    <col min="15368" max="15368" width="48.7109375" customWidth="1"/>
    <col min="15369" max="15369" width="11" customWidth="1"/>
    <col min="15617" max="15617" width="59.28515625" customWidth="1"/>
    <col min="15624" max="15624" width="48.7109375" customWidth="1"/>
    <col min="15625" max="15625" width="11" customWidth="1"/>
    <col min="15873" max="15873" width="59.28515625" customWidth="1"/>
    <col min="15880" max="15880" width="48.7109375" customWidth="1"/>
    <col min="15881" max="15881" width="11" customWidth="1"/>
    <col min="16129" max="16129" width="59.28515625" customWidth="1"/>
    <col min="16136" max="16136" width="48.7109375" customWidth="1"/>
    <col min="16137" max="16137" width="11" customWidth="1"/>
  </cols>
  <sheetData>
    <row r="1" spans="1:16" ht="45" x14ac:dyDescent="0.25">
      <c r="A1" s="77" t="s">
        <v>742</v>
      </c>
    </row>
    <row r="3" spans="1:16" x14ac:dyDescent="0.25">
      <c r="A3" s="78"/>
      <c r="B3" s="434" t="s">
        <v>634</v>
      </c>
      <c r="C3" s="435"/>
      <c r="D3" s="435"/>
      <c r="E3" s="435"/>
      <c r="F3" s="436"/>
      <c r="G3" s="434" t="s">
        <v>635</v>
      </c>
      <c r="H3" s="435"/>
      <c r="I3" s="435"/>
      <c r="J3" s="435"/>
      <c r="K3" s="436"/>
      <c r="L3" s="434" t="s">
        <v>636</v>
      </c>
      <c r="M3" s="435"/>
      <c r="N3" s="435"/>
      <c r="O3" s="435"/>
      <c r="P3" s="436"/>
    </row>
    <row r="4" spans="1:16" x14ac:dyDescent="0.25">
      <c r="A4" s="78"/>
      <c r="B4" s="78">
        <v>2007</v>
      </c>
      <c r="C4" s="78">
        <v>2008</v>
      </c>
      <c r="D4" s="78">
        <v>2010</v>
      </c>
      <c r="E4" s="78" t="s">
        <v>637</v>
      </c>
      <c r="F4" s="78" t="s">
        <v>638</v>
      </c>
      <c r="G4" s="78">
        <v>2007</v>
      </c>
      <c r="H4" s="78">
        <v>2008</v>
      </c>
      <c r="I4" s="78">
        <v>2010</v>
      </c>
      <c r="J4" s="78" t="s">
        <v>637</v>
      </c>
      <c r="K4" s="78" t="s">
        <v>638</v>
      </c>
      <c r="L4" s="78">
        <v>2007</v>
      </c>
      <c r="M4" s="78">
        <v>2008</v>
      </c>
      <c r="N4" s="78">
        <v>2010</v>
      </c>
      <c r="O4" s="78" t="s">
        <v>637</v>
      </c>
      <c r="P4" s="78" t="s">
        <v>638</v>
      </c>
    </row>
    <row r="5" spans="1:16" x14ac:dyDescent="0.25">
      <c r="A5" s="78" t="s">
        <v>639</v>
      </c>
      <c r="B5" s="79">
        <v>400</v>
      </c>
      <c r="C5" s="79">
        <v>400</v>
      </c>
      <c r="D5" s="78">
        <v>400</v>
      </c>
      <c r="E5" s="78">
        <v>371</v>
      </c>
      <c r="F5" s="78">
        <v>400</v>
      </c>
      <c r="G5" s="79">
        <v>400</v>
      </c>
      <c r="H5" s="79">
        <v>400</v>
      </c>
      <c r="I5" s="78">
        <v>400</v>
      </c>
      <c r="J5" s="78">
        <v>371</v>
      </c>
      <c r="K5" s="80">
        <v>400</v>
      </c>
      <c r="L5" s="81">
        <v>400</v>
      </c>
      <c r="M5" s="79">
        <v>400</v>
      </c>
      <c r="N5" s="78">
        <v>400</v>
      </c>
      <c r="O5" s="78">
        <v>371</v>
      </c>
      <c r="P5" s="78">
        <v>400</v>
      </c>
    </row>
    <row r="6" spans="1:16" x14ac:dyDescent="0.25">
      <c r="A6" s="78" t="s">
        <v>640</v>
      </c>
      <c r="B6" s="79">
        <v>250</v>
      </c>
      <c r="C6" s="79">
        <v>250</v>
      </c>
      <c r="D6" s="78">
        <v>250</v>
      </c>
      <c r="E6" s="80">
        <v>50</v>
      </c>
      <c r="F6" s="78">
        <v>250</v>
      </c>
      <c r="G6" s="79">
        <v>250</v>
      </c>
      <c r="H6" s="79">
        <v>250</v>
      </c>
      <c r="I6" s="78">
        <v>250</v>
      </c>
      <c r="J6" s="78">
        <v>50</v>
      </c>
      <c r="K6" s="78">
        <v>250</v>
      </c>
      <c r="L6" s="81">
        <v>250</v>
      </c>
      <c r="M6" s="79">
        <v>250</v>
      </c>
      <c r="N6" s="78">
        <v>250</v>
      </c>
      <c r="O6" s="78">
        <v>50</v>
      </c>
      <c r="P6" s="78">
        <v>250</v>
      </c>
    </row>
    <row r="7" spans="1:16" x14ac:dyDescent="0.25">
      <c r="A7" s="78" t="s">
        <v>641</v>
      </c>
      <c r="B7" s="79">
        <v>340</v>
      </c>
      <c r="C7" s="79">
        <v>340</v>
      </c>
      <c r="D7" s="78">
        <v>340</v>
      </c>
      <c r="E7" s="78">
        <v>300</v>
      </c>
      <c r="F7" s="78">
        <v>340</v>
      </c>
      <c r="G7" s="79">
        <v>340</v>
      </c>
      <c r="H7" s="79">
        <v>340</v>
      </c>
      <c r="I7" s="78">
        <v>340</v>
      </c>
      <c r="J7" s="78">
        <v>600</v>
      </c>
      <c r="K7" s="78">
        <v>340</v>
      </c>
      <c r="L7" s="81">
        <v>340</v>
      </c>
      <c r="M7" s="79">
        <v>340</v>
      </c>
      <c r="N7" s="78">
        <v>340</v>
      </c>
      <c r="O7" s="78">
        <v>900</v>
      </c>
      <c r="P7" s="78">
        <v>340</v>
      </c>
    </row>
    <row r="8" spans="1:16" x14ac:dyDescent="0.25">
      <c r="A8" s="78" t="s">
        <v>642</v>
      </c>
      <c r="B8" s="79">
        <v>100</v>
      </c>
      <c r="C8" s="79">
        <v>100</v>
      </c>
      <c r="D8" s="78">
        <v>100</v>
      </c>
      <c r="E8" s="78">
        <v>100</v>
      </c>
      <c r="F8" s="78">
        <v>100</v>
      </c>
      <c r="G8" s="79">
        <v>100</v>
      </c>
      <c r="H8" s="79">
        <v>100</v>
      </c>
      <c r="I8" s="78">
        <v>100</v>
      </c>
      <c r="J8" s="78">
        <v>100</v>
      </c>
      <c r="K8" s="78">
        <v>100</v>
      </c>
      <c r="L8" s="81">
        <v>100</v>
      </c>
      <c r="M8" s="79">
        <v>100</v>
      </c>
      <c r="N8" s="78">
        <v>100</v>
      </c>
      <c r="O8" s="78">
        <v>100</v>
      </c>
      <c r="P8" s="78">
        <v>100</v>
      </c>
    </row>
    <row r="9" spans="1:16" x14ac:dyDescent="0.25">
      <c r="A9" s="78" t="s">
        <v>643</v>
      </c>
      <c r="B9" s="79">
        <v>100</v>
      </c>
      <c r="C9" s="79">
        <v>100</v>
      </c>
      <c r="D9" s="78">
        <v>100</v>
      </c>
      <c r="E9" s="78">
        <v>100</v>
      </c>
      <c r="F9" s="78">
        <v>100</v>
      </c>
      <c r="G9" s="79">
        <v>100</v>
      </c>
      <c r="H9" s="79">
        <v>100</v>
      </c>
      <c r="I9" s="78">
        <v>100</v>
      </c>
      <c r="J9" s="78">
        <v>100</v>
      </c>
      <c r="K9" s="78">
        <v>100</v>
      </c>
      <c r="L9" s="81">
        <v>100</v>
      </c>
      <c r="M9" s="79">
        <v>100</v>
      </c>
      <c r="N9" s="78">
        <v>100</v>
      </c>
      <c r="O9" s="78">
        <v>100</v>
      </c>
      <c r="P9" s="78">
        <v>100</v>
      </c>
    </row>
    <row r="10" spans="1:16" x14ac:dyDescent="0.25">
      <c r="A10" s="78" t="s">
        <v>644</v>
      </c>
      <c r="B10" s="79">
        <v>100</v>
      </c>
      <c r="C10" s="79">
        <v>100</v>
      </c>
      <c r="D10" s="78">
        <v>100</v>
      </c>
      <c r="E10" s="78">
        <v>100</v>
      </c>
      <c r="F10" s="78">
        <v>100</v>
      </c>
      <c r="G10" s="79">
        <v>100</v>
      </c>
      <c r="H10" s="79">
        <v>100</v>
      </c>
      <c r="I10" s="78">
        <v>100</v>
      </c>
      <c r="J10" s="78">
        <v>100</v>
      </c>
      <c r="K10" s="78">
        <v>100</v>
      </c>
      <c r="L10" s="81">
        <v>100</v>
      </c>
      <c r="M10" s="79">
        <v>100</v>
      </c>
      <c r="N10" s="78">
        <v>100</v>
      </c>
      <c r="O10" s="78">
        <v>100</v>
      </c>
      <c r="P10" s="78">
        <v>100</v>
      </c>
    </row>
    <row r="11" spans="1:16" x14ac:dyDescent="0.25">
      <c r="A11" s="80" t="s">
        <v>645</v>
      </c>
      <c r="B11" s="79">
        <v>250</v>
      </c>
      <c r="C11" s="79">
        <v>250</v>
      </c>
      <c r="D11" s="78">
        <v>250</v>
      </c>
      <c r="E11" s="78">
        <v>129</v>
      </c>
      <c r="F11" s="80">
        <v>250</v>
      </c>
      <c r="G11" s="79">
        <v>250</v>
      </c>
      <c r="H11" s="79">
        <v>250</v>
      </c>
      <c r="I11" s="78">
        <v>250</v>
      </c>
      <c r="J11" s="78">
        <v>129</v>
      </c>
      <c r="K11" s="80">
        <v>250</v>
      </c>
      <c r="L11" s="81">
        <v>250</v>
      </c>
      <c r="M11" s="79">
        <v>250</v>
      </c>
      <c r="N11" s="78">
        <v>250</v>
      </c>
      <c r="O11" s="78">
        <v>129</v>
      </c>
      <c r="P11" s="80">
        <v>250</v>
      </c>
    </row>
    <row r="12" spans="1:16" x14ac:dyDescent="0.25">
      <c r="A12" s="78" t="s">
        <v>646</v>
      </c>
      <c r="B12" s="79" t="s">
        <v>610</v>
      </c>
      <c r="C12" s="79" t="s">
        <v>610</v>
      </c>
      <c r="D12" s="78">
        <v>0</v>
      </c>
      <c r="E12" s="78">
        <v>200</v>
      </c>
      <c r="F12" s="80"/>
      <c r="G12" s="79" t="s">
        <v>610</v>
      </c>
      <c r="H12" s="79" t="s">
        <v>610</v>
      </c>
      <c r="I12" s="78" t="s">
        <v>610</v>
      </c>
      <c r="J12" s="78">
        <v>200</v>
      </c>
      <c r="K12" s="80"/>
      <c r="L12" s="81" t="s">
        <v>610</v>
      </c>
      <c r="M12" s="79" t="s">
        <v>610</v>
      </c>
      <c r="N12" s="78">
        <v>0</v>
      </c>
      <c r="O12" s="78">
        <v>200</v>
      </c>
      <c r="P12" s="78"/>
    </row>
    <row r="13" spans="1:16" x14ac:dyDescent="0.25">
      <c r="A13" s="80" t="s">
        <v>647</v>
      </c>
      <c r="B13" s="79">
        <v>5000</v>
      </c>
      <c r="C13" s="79">
        <v>0</v>
      </c>
      <c r="D13" s="78">
        <v>1286</v>
      </c>
      <c r="E13" s="79">
        <v>3500</v>
      </c>
      <c r="F13" s="81">
        <v>1225</v>
      </c>
      <c r="G13" s="79">
        <v>5000</v>
      </c>
      <c r="H13" s="79" t="s">
        <v>610</v>
      </c>
      <c r="I13" s="78">
        <v>1286</v>
      </c>
      <c r="J13" s="79">
        <v>3500</v>
      </c>
      <c r="K13" s="81">
        <v>1225</v>
      </c>
      <c r="L13" s="81">
        <v>5000</v>
      </c>
      <c r="M13" s="79" t="s">
        <v>610</v>
      </c>
      <c r="N13" s="78">
        <v>1286</v>
      </c>
      <c r="O13" s="79">
        <v>3500</v>
      </c>
      <c r="P13" s="81">
        <v>1225</v>
      </c>
    </row>
    <row r="14" spans="1:16" x14ac:dyDescent="0.25">
      <c r="A14" s="78" t="s">
        <v>648</v>
      </c>
      <c r="B14" s="79" t="s">
        <v>610</v>
      </c>
      <c r="C14" s="79" t="s">
        <v>610</v>
      </c>
      <c r="D14" s="78">
        <v>0</v>
      </c>
      <c r="E14" s="79">
        <v>2500</v>
      </c>
      <c r="F14" s="78"/>
      <c r="G14" s="79" t="s">
        <v>610</v>
      </c>
      <c r="H14" s="79" t="s">
        <v>610</v>
      </c>
      <c r="I14" s="78" t="s">
        <v>610</v>
      </c>
      <c r="J14" s="79">
        <v>2500</v>
      </c>
      <c r="K14" s="78"/>
      <c r="L14" s="81" t="s">
        <v>610</v>
      </c>
      <c r="M14" s="79" t="s">
        <v>610</v>
      </c>
      <c r="N14" s="78">
        <v>0</v>
      </c>
      <c r="O14" s="79">
        <v>2500</v>
      </c>
      <c r="P14" s="78"/>
    </row>
    <row r="15" spans="1:16" x14ac:dyDescent="0.25">
      <c r="A15" s="78" t="s">
        <v>649</v>
      </c>
      <c r="B15" s="79">
        <v>130000</v>
      </c>
      <c r="C15" s="79">
        <v>92775</v>
      </c>
      <c r="D15" s="78">
        <v>82900</v>
      </c>
      <c r="E15" s="79">
        <v>75600</v>
      </c>
      <c r="F15" s="79">
        <v>71200</v>
      </c>
      <c r="G15" s="79">
        <v>143800</v>
      </c>
      <c r="H15" s="79">
        <v>104000</v>
      </c>
      <c r="I15" s="78">
        <v>98356</v>
      </c>
      <c r="J15" s="79">
        <v>84250</v>
      </c>
      <c r="K15" s="79">
        <v>84200</v>
      </c>
      <c r="L15" s="81">
        <v>190000</v>
      </c>
      <c r="M15" s="79">
        <v>138637</v>
      </c>
      <c r="N15" s="78">
        <v>117940</v>
      </c>
      <c r="O15" s="79">
        <v>95000</v>
      </c>
      <c r="P15" s="79">
        <v>93600</v>
      </c>
    </row>
    <row r="16" spans="1:16" x14ac:dyDescent="0.25">
      <c r="A16" s="78" t="s">
        <v>650</v>
      </c>
      <c r="B16" s="79" t="s">
        <v>610</v>
      </c>
      <c r="C16" s="79" t="s">
        <v>610</v>
      </c>
      <c r="D16" s="78" t="s">
        <v>610</v>
      </c>
      <c r="E16" s="79">
        <v>10000</v>
      </c>
      <c r="F16" s="79">
        <v>10650</v>
      </c>
      <c r="G16" s="79"/>
      <c r="H16" s="79"/>
      <c r="I16" s="78" t="s">
        <v>610</v>
      </c>
      <c r="J16" s="79">
        <v>10000</v>
      </c>
      <c r="K16" s="79">
        <v>10650</v>
      </c>
      <c r="L16" s="79"/>
      <c r="M16" s="78"/>
      <c r="N16" s="78"/>
      <c r="O16" s="79">
        <v>10000</v>
      </c>
      <c r="P16" s="79">
        <v>10650</v>
      </c>
    </row>
    <row r="17" spans="1:16" x14ac:dyDescent="0.25">
      <c r="A17" s="78" t="s">
        <v>651</v>
      </c>
      <c r="B17" s="78"/>
      <c r="C17" s="78"/>
      <c r="D17" s="78"/>
      <c r="E17" s="82"/>
      <c r="F17" s="78"/>
      <c r="G17" s="78"/>
      <c r="H17" s="78"/>
      <c r="I17" s="78" t="s">
        <v>610</v>
      </c>
      <c r="J17" s="79">
        <v>2250</v>
      </c>
      <c r="K17" s="79">
        <v>2500</v>
      </c>
      <c r="L17" s="79"/>
      <c r="M17" s="78"/>
      <c r="N17" s="78"/>
      <c r="O17" s="79">
        <v>2250</v>
      </c>
      <c r="P17" s="79">
        <v>2500</v>
      </c>
    </row>
    <row r="18" spans="1:16" x14ac:dyDescent="0.25">
      <c r="A18" s="78" t="s">
        <v>652</v>
      </c>
      <c r="B18" s="78"/>
      <c r="C18" s="78"/>
      <c r="D18" s="78"/>
      <c r="E18" s="82"/>
      <c r="F18" s="78"/>
      <c r="G18" s="78"/>
      <c r="H18" s="78"/>
      <c r="I18" s="78" t="s">
        <v>610</v>
      </c>
      <c r="J18" s="82"/>
      <c r="K18" s="78"/>
      <c r="L18" s="78"/>
      <c r="M18" s="78"/>
      <c r="N18" s="78"/>
      <c r="O18" s="79">
        <v>10300</v>
      </c>
      <c r="P18" s="81">
        <v>9885</v>
      </c>
    </row>
    <row r="19" spans="1:16" x14ac:dyDescent="0.25">
      <c r="A19" s="78"/>
      <c r="B19" s="78">
        <v>136540</v>
      </c>
      <c r="C19" s="78">
        <v>94315</v>
      </c>
      <c r="D19" s="78">
        <v>85726</v>
      </c>
      <c r="E19" s="78">
        <v>92950</v>
      </c>
      <c r="F19" s="78">
        <v>84615</v>
      </c>
      <c r="G19" s="79">
        <v>150340</v>
      </c>
      <c r="H19" s="78">
        <v>105540</v>
      </c>
      <c r="I19" s="78">
        <v>101182</v>
      </c>
      <c r="J19" s="78">
        <v>104150</v>
      </c>
      <c r="K19" s="78">
        <v>100115</v>
      </c>
      <c r="L19" s="78">
        <v>196540</v>
      </c>
      <c r="M19" s="78">
        <v>140177</v>
      </c>
      <c r="N19" s="78">
        <v>120766</v>
      </c>
      <c r="O19" s="78">
        <v>125500</v>
      </c>
      <c r="P19" s="78">
        <v>119400</v>
      </c>
    </row>
    <row r="21" spans="1:16" x14ac:dyDescent="0.25">
      <c r="E21">
        <f>E19+J19+O19</f>
        <v>322600</v>
      </c>
      <c r="F21" s="9">
        <f>E21/3</f>
        <v>107533.33333333333</v>
      </c>
    </row>
    <row r="23" spans="1:16" x14ac:dyDescent="0.25">
      <c r="I23" s="83"/>
      <c r="L23" s="83"/>
    </row>
    <row r="24" spans="1:16" ht="16.5" thickBot="1" x14ac:dyDescent="0.3">
      <c r="A24" s="84" t="s">
        <v>653</v>
      </c>
      <c r="B24" s="85"/>
      <c r="C24" s="84" t="s">
        <v>123</v>
      </c>
      <c r="D24" s="84" t="s">
        <v>653</v>
      </c>
      <c r="E24" s="85"/>
      <c r="F24" s="84" t="s">
        <v>123</v>
      </c>
      <c r="G24" s="84" t="s">
        <v>653</v>
      </c>
      <c r="H24" s="85"/>
      <c r="I24" s="86" t="s">
        <v>123</v>
      </c>
      <c r="J24" s="87" t="s">
        <v>653</v>
      </c>
      <c r="K24" s="88"/>
      <c r="L24" s="86" t="s">
        <v>123</v>
      </c>
    </row>
    <row r="25" spans="1:16" ht="15.75" thickBot="1" x14ac:dyDescent="0.3">
      <c r="A25" s="89" t="s">
        <v>132</v>
      </c>
      <c r="B25" s="85"/>
      <c r="C25" s="85"/>
      <c r="D25" s="89" t="s">
        <v>654</v>
      </c>
      <c r="E25" s="85"/>
      <c r="F25" s="85"/>
      <c r="G25" s="89" t="s">
        <v>655</v>
      </c>
      <c r="H25" s="85"/>
      <c r="I25" s="90"/>
      <c r="J25" s="91" t="s">
        <v>656</v>
      </c>
      <c r="K25" s="92"/>
      <c r="L25" s="93"/>
    </row>
    <row r="26" spans="1:16" x14ac:dyDescent="0.25">
      <c r="A26" s="85" t="s">
        <v>657</v>
      </c>
      <c r="B26" s="85"/>
      <c r="C26" s="85">
        <v>495</v>
      </c>
      <c r="D26" s="85" t="s">
        <v>658</v>
      </c>
      <c r="E26" s="85"/>
      <c r="F26" s="85">
        <f>C42</f>
        <v>3380</v>
      </c>
      <c r="G26" s="85" t="s">
        <v>659</v>
      </c>
      <c r="H26" s="85"/>
      <c r="I26" s="93">
        <f>F42</f>
        <v>5722</v>
      </c>
      <c r="J26" s="85" t="s">
        <v>659</v>
      </c>
      <c r="K26" s="88"/>
      <c r="L26" s="93">
        <f>F42</f>
        <v>5722</v>
      </c>
    </row>
    <row r="27" spans="1:16" x14ac:dyDescent="0.25">
      <c r="A27" s="85" t="s">
        <v>660</v>
      </c>
      <c r="B27" s="85"/>
      <c r="C27" s="94">
        <v>150</v>
      </c>
      <c r="D27" s="85"/>
      <c r="E27" s="85"/>
      <c r="F27" s="95"/>
      <c r="G27" s="85"/>
      <c r="H27" s="85"/>
      <c r="I27" s="93"/>
      <c r="J27" s="88"/>
      <c r="K27" s="88"/>
      <c r="L27" s="93"/>
    </row>
    <row r="28" spans="1:16" x14ac:dyDescent="0.25">
      <c r="A28" s="85" t="s">
        <v>661</v>
      </c>
      <c r="B28" s="85"/>
      <c r="C28" s="94">
        <v>100</v>
      </c>
      <c r="D28" s="85"/>
      <c r="E28" s="85"/>
      <c r="F28" s="85"/>
      <c r="G28" s="85"/>
      <c r="H28" s="85"/>
      <c r="I28" s="93"/>
      <c r="J28" s="88"/>
      <c r="K28" s="88"/>
      <c r="L28" s="93"/>
    </row>
    <row r="29" spans="1:16" x14ac:dyDescent="0.25">
      <c r="A29" s="85" t="s">
        <v>662</v>
      </c>
      <c r="B29" s="85"/>
      <c r="C29" s="85"/>
      <c r="D29" s="85"/>
      <c r="E29" s="85"/>
      <c r="F29" s="85"/>
      <c r="G29" s="85"/>
      <c r="H29" s="85"/>
      <c r="I29" s="93"/>
      <c r="J29" s="88"/>
      <c r="K29" s="88"/>
      <c r="L29" s="93"/>
    </row>
    <row r="30" spans="1:16" x14ac:dyDescent="0.25">
      <c r="A30" s="85" t="s">
        <v>663</v>
      </c>
      <c r="B30" s="85"/>
      <c r="C30" s="94">
        <v>100</v>
      </c>
      <c r="D30" s="85"/>
      <c r="E30" s="85"/>
      <c r="F30" s="85"/>
      <c r="G30" s="85"/>
      <c r="H30" s="85"/>
      <c r="I30" s="93"/>
      <c r="J30" s="85"/>
      <c r="K30" s="85"/>
      <c r="L30" s="93"/>
    </row>
    <row r="31" spans="1:16" x14ac:dyDescent="0.25">
      <c r="A31" s="85" t="s">
        <v>664</v>
      </c>
      <c r="B31" s="85">
        <v>55</v>
      </c>
      <c r="C31" s="85">
        <v>165</v>
      </c>
      <c r="D31" s="85"/>
      <c r="E31" s="85"/>
      <c r="F31" s="85"/>
      <c r="G31" s="85"/>
      <c r="H31" s="85"/>
      <c r="I31" s="93"/>
      <c r="J31" s="88"/>
      <c r="K31" s="88"/>
      <c r="L31" s="93"/>
    </row>
    <row r="32" spans="1:16" x14ac:dyDescent="0.25">
      <c r="A32" s="96" t="s">
        <v>665</v>
      </c>
      <c r="B32" s="85">
        <v>60</v>
      </c>
      <c r="C32" s="85">
        <v>60</v>
      </c>
      <c r="D32" s="85"/>
      <c r="E32" s="85"/>
      <c r="F32" s="85"/>
      <c r="G32" s="85"/>
      <c r="H32" s="85"/>
      <c r="I32" s="93"/>
      <c r="J32" s="88"/>
      <c r="K32" s="88"/>
      <c r="L32" s="93"/>
    </row>
    <row r="33" spans="1:16" x14ac:dyDescent="0.25">
      <c r="A33" s="85" t="s">
        <v>666</v>
      </c>
      <c r="B33" s="85">
        <v>990</v>
      </c>
      <c r="C33" s="85">
        <v>990</v>
      </c>
      <c r="D33" s="85"/>
      <c r="E33" s="85"/>
      <c r="F33" s="85"/>
      <c r="G33" s="85"/>
      <c r="H33" s="85"/>
      <c r="I33" s="93"/>
      <c r="J33" s="88"/>
      <c r="K33" s="88"/>
      <c r="L33" s="93"/>
    </row>
    <row r="34" spans="1:16" x14ac:dyDescent="0.25">
      <c r="A34" s="85" t="s">
        <v>667</v>
      </c>
      <c r="B34" s="85">
        <v>4650</v>
      </c>
      <c r="C34" s="85">
        <v>1150</v>
      </c>
      <c r="D34" s="85"/>
      <c r="E34" s="85"/>
      <c r="F34" s="85"/>
      <c r="G34" s="85"/>
      <c r="H34" s="85"/>
      <c r="I34" s="93"/>
      <c r="J34" s="88"/>
      <c r="K34" s="88"/>
      <c r="L34" s="93"/>
    </row>
    <row r="35" spans="1:16" x14ac:dyDescent="0.25">
      <c r="A35" s="85" t="s">
        <v>668</v>
      </c>
      <c r="B35" s="85">
        <v>170</v>
      </c>
      <c r="C35" s="85">
        <v>170</v>
      </c>
      <c r="D35" s="85"/>
      <c r="E35" s="85"/>
      <c r="F35" s="85"/>
      <c r="G35" s="85"/>
      <c r="H35" s="85"/>
      <c r="I35" s="93"/>
      <c r="J35" s="88"/>
      <c r="K35" s="88"/>
      <c r="L35" s="93"/>
    </row>
    <row r="36" spans="1:16" x14ac:dyDescent="0.25">
      <c r="A36" s="97"/>
      <c r="B36" s="97"/>
      <c r="C36" s="97"/>
      <c r="D36" s="85" t="s">
        <v>669</v>
      </c>
      <c r="E36" s="94">
        <v>200</v>
      </c>
      <c r="F36" s="94">
        <f>E36*1</f>
        <v>200</v>
      </c>
      <c r="G36" s="85"/>
      <c r="H36" s="85"/>
      <c r="I36" s="93"/>
      <c r="J36" s="88"/>
      <c r="K36" s="88"/>
      <c r="L36" s="93"/>
    </row>
    <row r="37" spans="1:16" x14ac:dyDescent="0.25">
      <c r="A37" s="97"/>
      <c r="B37" s="97"/>
      <c r="C37" s="97"/>
      <c r="D37" s="85" t="s">
        <v>670</v>
      </c>
      <c r="E37" s="85">
        <v>358</v>
      </c>
      <c r="F37" s="85">
        <f>E37*2</f>
        <v>716</v>
      </c>
      <c r="G37" s="85"/>
      <c r="H37" s="85"/>
      <c r="I37" s="93"/>
      <c r="J37" s="88"/>
      <c r="K37" s="88"/>
      <c r="L37" s="93"/>
    </row>
    <row r="38" spans="1:16" x14ac:dyDescent="0.25">
      <c r="A38" s="97"/>
      <c r="B38" s="97"/>
      <c r="C38" s="97"/>
      <c r="D38" s="98" t="s">
        <v>671</v>
      </c>
      <c r="E38" s="85">
        <v>330</v>
      </c>
      <c r="F38" s="85">
        <f>E38*2</f>
        <v>660</v>
      </c>
      <c r="G38" s="85"/>
      <c r="H38" s="85"/>
      <c r="I38" s="93"/>
      <c r="J38" s="88"/>
      <c r="K38" s="88"/>
      <c r="L38" s="93"/>
    </row>
    <row r="39" spans="1:16" x14ac:dyDescent="0.25">
      <c r="A39" s="97"/>
      <c r="B39" s="97"/>
      <c r="C39" s="97"/>
      <c r="D39" s="85" t="s">
        <v>672</v>
      </c>
      <c r="E39" s="85">
        <v>170</v>
      </c>
      <c r="F39" s="85">
        <f>E39*1</f>
        <v>170</v>
      </c>
      <c r="G39" s="85"/>
      <c r="H39" s="85"/>
      <c r="I39" s="93"/>
      <c r="J39" s="88"/>
      <c r="K39" s="88"/>
      <c r="L39" s="93"/>
    </row>
    <row r="40" spans="1:16" x14ac:dyDescent="0.25">
      <c r="A40" s="97"/>
      <c r="B40" s="97"/>
      <c r="C40" s="97"/>
      <c r="D40" s="85" t="s">
        <v>673</v>
      </c>
      <c r="E40" s="85">
        <v>298</v>
      </c>
      <c r="F40" s="85">
        <f>E40*2</f>
        <v>596</v>
      </c>
      <c r="G40" s="85"/>
      <c r="H40" s="85"/>
      <c r="I40" s="93"/>
      <c r="J40" s="88"/>
      <c r="K40" s="88"/>
      <c r="L40" s="93"/>
    </row>
    <row r="41" spans="1:16" ht="15.75" thickBot="1" x14ac:dyDescent="0.3">
      <c r="A41" s="99"/>
      <c r="B41" s="99"/>
      <c r="C41" s="99"/>
      <c r="D41" s="100"/>
      <c r="E41" s="100"/>
      <c r="F41" s="100"/>
      <c r="G41" s="99" t="s">
        <v>674</v>
      </c>
      <c r="H41" s="99">
        <v>1.5</v>
      </c>
      <c r="I41" s="101">
        <f>H49*H41</f>
        <v>1661.9250000000002</v>
      </c>
      <c r="J41" s="102" t="s">
        <v>675</v>
      </c>
      <c r="K41" s="102">
        <v>1.5</v>
      </c>
      <c r="L41" s="101">
        <f>K49*K41</f>
        <v>3289.0650000000001</v>
      </c>
    </row>
    <row r="42" spans="1:16" ht="15.75" thickBot="1" x14ac:dyDescent="0.3">
      <c r="A42" s="103" t="s">
        <v>676</v>
      </c>
      <c r="B42" s="104"/>
      <c r="C42" s="104">
        <f>SUM(C26:C41)</f>
        <v>3380</v>
      </c>
      <c r="D42" s="104"/>
      <c r="E42" s="104"/>
      <c r="F42" s="104">
        <f>SUM(F26:F41)</f>
        <v>5722</v>
      </c>
      <c r="G42" s="104"/>
      <c r="H42" s="104"/>
      <c r="I42" s="105">
        <f>SUM(I26:I41)</f>
        <v>7383.9250000000002</v>
      </c>
      <c r="J42" s="106"/>
      <c r="K42" s="106"/>
      <c r="L42" s="105">
        <f>SUM(L26:L41)</f>
        <v>9011.0650000000005</v>
      </c>
      <c r="N42" s="83">
        <f>(L42+I42+F42)/3</f>
        <v>7372.3300000000008</v>
      </c>
      <c r="P42">
        <f>C42-C34</f>
        <v>2230</v>
      </c>
    </row>
    <row r="43" spans="1:16" x14ac:dyDescent="0.25">
      <c r="A43" s="107"/>
      <c r="B43" s="107"/>
      <c r="C43" s="107"/>
      <c r="D43" s="107"/>
      <c r="E43" s="107"/>
      <c r="F43" s="107"/>
      <c r="G43" s="107"/>
      <c r="H43" s="107"/>
      <c r="I43" s="108"/>
      <c r="J43" s="109"/>
      <c r="K43" s="109"/>
      <c r="L43" s="108"/>
    </row>
    <row r="44" spans="1:16" x14ac:dyDescent="0.25">
      <c r="A44" s="85"/>
      <c r="B44" s="85"/>
      <c r="C44" s="85"/>
      <c r="D44" s="85"/>
      <c r="E44" s="85"/>
      <c r="F44" s="85"/>
      <c r="G44" s="85"/>
      <c r="H44" s="85"/>
      <c r="I44" s="93"/>
      <c r="J44" s="88"/>
      <c r="K44" s="88"/>
      <c r="L44" s="93"/>
    </row>
    <row r="45" spans="1:16" x14ac:dyDescent="0.25">
      <c r="A45" s="85" t="s">
        <v>677</v>
      </c>
      <c r="B45" s="85"/>
      <c r="C45" s="85"/>
      <c r="D45" s="85"/>
      <c r="E45" s="85"/>
      <c r="F45" s="85"/>
      <c r="G45" s="85" t="s">
        <v>678</v>
      </c>
      <c r="H45" s="85"/>
      <c r="I45" s="93"/>
      <c r="J45" s="85" t="s">
        <v>679</v>
      </c>
      <c r="K45" s="85"/>
      <c r="L45" s="93"/>
    </row>
    <row r="46" spans="1:16" x14ac:dyDescent="0.25">
      <c r="A46" s="85" t="s">
        <v>680</v>
      </c>
      <c r="B46" s="85"/>
      <c r="C46" s="85">
        <v>4500</v>
      </c>
      <c r="D46" s="85"/>
      <c r="E46" s="85"/>
      <c r="F46" s="85"/>
      <c r="G46" s="110">
        <v>0.5</v>
      </c>
      <c r="H46" s="85">
        <v>1180</v>
      </c>
      <c r="I46" s="93"/>
      <c r="J46" s="110">
        <v>0.5</v>
      </c>
      <c r="K46" s="85">
        <v>1800</v>
      </c>
      <c r="L46" s="93"/>
    </row>
    <row r="47" spans="1:16" x14ac:dyDescent="0.25">
      <c r="A47" s="85" t="s">
        <v>681</v>
      </c>
      <c r="B47" s="85"/>
      <c r="C47" s="94">
        <v>1000</v>
      </c>
      <c r="D47" s="85"/>
      <c r="E47" s="85"/>
      <c r="F47" s="85"/>
      <c r="G47" s="110">
        <v>0.33</v>
      </c>
      <c r="H47" s="85">
        <v>650</v>
      </c>
      <c r="I47" s="93"/>
      <c r="J47" s="110">
        <v>0.33</v>
      </c>
      <c r="K47" s="85">
        <v>2275</v>
      </c>
      <c r="L47" s="93"/>
    </row>
    <row r="48" spans="1:16" x14ac:dyDescent="0.25">
      <c r="A48" s="97"/>
      <c r="B48" s="97"/>
      <c r="C48" s="97"/>
      <c r="D48" s="85"/>
      <c r="E48" s="85"/>
      <c r="F48" s="85"/>
      <c r="G48" s="110">
        <v>0.17</v>
      </c>
      <c r="H48" s="85">
        <v>1785</v>
      </c>
      <c r="I48" s="93"/>
      <c r="J48" s="110">
        <v>0.17</v>
      </c>
      <c r="K48" s="85">
        <v>3188</v>
      </c>
      <c r="L48" s="93"/>
    </row>
    <row r="49" spans="1:16" x14ac:dyDescent="0.25">
      <c r="A49" s="85"/>
      <c r="B49" s="85"/>
      <c r="C49" s="85"/>
      <c r="D49" s="85"/>
      <c r="E49" s="85"/>
      <c r="F49" s="85"/>
      <c r="G49" s="85"/>
      <c r="H49" s="85">
        <f>(H46*G46)+(H47*G47)+(H48*G48)</f>
        <v>1107.95</v>
      </c>
      <c r="I49" s="93"/>
      <c r="J49" s="85"/>
      <c r="K49" s="85">
        <f>(K46*J46)+(K47*J47)+(K48*J48)</f>
        <v>2192.71</v>
      </c>
      <c r="L49" s="93"/>
    </row>
    <row r="50" spans="1:16" x14ac:dyDescent="0.25">
      <c r="A50" s="85" t="s">
        <v>682</v>
      </c>
      <c r="B50" s="85"/>
      <c r="C50" s="85"/>
      <c r="D50" s="85"/>
      <c r="E50" s="85"/>
      <c r="F50" s="85"/>
      <c r="G50" s="85"/>
      <c r="H50" s="85"/>
      <c r="I50" s="93"/>
      <c r="J50" s="85"/>
      <c r="K50" s="85"/>
      <c r="L50" s="93"/>
    </row>
    <row r="51" spans="1:16" x14ac:dyDescent="0.25">
      <c r="A51" s="85" t="s">
        <v>683</v>
      </c>
      <c r="B51" s="85"/>
      <c r="C51" s="94">
        <v>9800</v>
      </c>
      <c r="D51" s="85" t="s">
        <v>684</v>
      </c>
      <c r="E51" s="85"/>
      <c r="F51" s="85"/>
      <c r="G51" s="85"/>
      <c r="H51" s="85"/>
      <c r="I51" s="93"/>
      <c r="J51" s="85"/>
      <c r="K51" s="85"/>
      <c r="L51" s="93"/>
    </row>
    <row r="52" spans="1:16" x14ac:dyDescent="0.25">
      <c r="A52" s="85" t="s">
        <v>685</v>
      </c>
      <c r="B52" s="85"/>
      <c r="C52" s="94">
        <v>3100</v>
      </c>
      <c r="D52" s="85" t="s">
        <v>684</v>
      </c>
      <c r="E52" s="85"/>
      <c r="F52" s="85"/>
      <c r="G52" s="85"/>
      <c r="H52" s="85"/>
      <c r="I52" s="93"/>
      <c r="J52" s="85"/>
      <c r="K52" s="85"/>
      <c r="L52" s="93"/>
    </row>
    <row r="53" spans="1:16" x14ac:dyDescent="0.25">
      <c r="A53" s="85" t="s">
        <v>686</v>
      </c>
      <c r="B53" s="85"/>
      <c r="C53" s="94">
        <v>2800</v>
      </c>
      <c r="D53" s="85" t="s">
        <v>684</v>
      </c>
      <c r="E53" s="85"/>
      <c r="F53" s="85"/>
      <c r="G53" s="85"/>
      <c r="H53" s="85"/>
      <c r="I53" s="93"/>
      <c r="J53" s="85"/>
      <c r="K53" s="85"/>
      <c r="L53" s="93"/>
    </row>
    <row r="56" spans="1:16" x14ac:dyDescent="0.25">
      <c r="A56" s="111"/>
      <c r="B56" s="111"/>
      <c r="C56" s="111"/>
      <c r="D56" s="111"/>
      <c r="E56" s="111"/>
      <c r="F56" s="111" t="s">
        <v>687</v>
      </c>
      <c r="G56" s="111"/>
      <c r="H56" s="111"/>
      <c r="I56" s="111"/>
      <c r="J56" s="111"/>
      <c r="K56" s="111" t="s">
        <v>688</v>
      </c>
      <c r="L56" s="112"/>
      <c r="M56" s="437" t="s">
        <v>689</v>
      </c>
      <c r="N56" s="438"/>
      <c r="O56" s="439" t="s">
        <v>690</v>
      </c>
      <c r="P56" s="440"/>
    </row>
    <row r="57" spans="1:16" x14ac:dyDescent="0.25">
      <c r="A57" s="111"/>
      <c r="B57" s="111"/>
      <c r="C57" s="111"/>
      <c r="D57" s="111"/>
      <c r="E57" s="111" t="s">
        <v>691</v>
      </c>
      <c r="F57" s="111" t="s">
        <v>692</v>
      </c>
      <c r="G57" s="111"/>
      <c r="H57" s="111"/>
      <c r="I57" s="111"/>
      <c r="J57" s="111" t="s">
        <v>691</v>
      </c>
      <c r="K57" s="111" t="s">
        <v>692</v>
      </c>
      <c r="L57" s="111"/>
      <c r="M57" s="111" t="s">
        <v>691</v>
      </c>
      <c r="N57" s="111" t="s">
        <v>692</v>
      </c>
      <c r="O57" s="111" t="s">
        <v>691</v>
      </c>
      <c r="P57" s="111" t="s">
        <v>692</v>
      </c>
    </row>
    <row r="58" spans="1:16" x14ac:dyDescent="0.25">
      <c r="A58" s="111" t="s">
        <v>639</v>
      </c>
      <c r="B58" s="111"/>
      <c r="C58" s="111"/>
      <c r="D58" s="111"/>
      <c r="E58" s="111">
        <v>400</v>
      </c>
      <c r="F58" s="113">
        <v>400</v>
      </c>
      <c r="G58" s="113"/>
      <c r="H58" s="113"/>
      <c r="I58" s="113"/>
      <c r="J58" s="111">
        <v>400</v>
      </c>
      <c r="K58" s="113">
        <v>400</v>
      </c>
      <c r="L58" s="113"/>
      <c r="M58" s="111">
        <v>400</v>
      </c>
      <c r="N58" s="113">
        <v>400</v>
      </c>
      <c r="O58" s="111">
        <v>400</v>
      </c>
      <c r="P58" s="114">
        <v>400</v>
      </c>
    </row>
    <row r="59" spans="1:16" x14ac:dyDescent="0.25">
      <c r="A59" s="111" t="s">
        <v>640</v>
      </c>
      <c r="B59" s="111"/>
      <c r="C59" s="111"/>
      <c r="D59" s="111"/>
      <c r="E59" s="114">
        <v>50</v>
      </c>
      <c r="F59" s="113">
        <v>50</v>
      </c>
      <c r="G59" s="113"/>
      <c r="H59" s="113"/>
      <c r="I59" s="113"/>
      <c r="J59" s="114">
        <v>50</v>
      </c>
      <c r="K59" s="113">
        <v>50</v>
      </c>
      <c r="L59" s="113"/>
      <c r="M59" s="114">
        <v>50</v>
      </c>
      <c r="N59" s="113">
        <v>50</v>
      </c>
      <c r="O59" s="114">
        <v>50</v>
      </c>
      <c r="P59" s="114">
        <v>50</v>
      </c>
    </row>
    <row r="60" spans="1:16" x14ac:dyDescent="0.25">
      <c r="A60" s="111" t="s">
        <v>693</v>
      </c>
      <c r="B60" s="111"/>
      <c r="C60" s="111"/>
      <c r="D60" s="111"/>
      <c r="E60" s="111">
        <v>300</v>
      </c>
      <c r="F60" s="113">
        <v>340</v>
      </c>
      <c r="G60" s="113"/>
      <c r="H60" s="113"/>
      <c r="I60" s="113"/>
      <c r="J60" s="111">
        <v>600</v>
      </c>
      <c r="K60" s="113">
        <v>340</v>
      </c>
      <c r="L60" s="113"/>
      <c r="M60" s="111">
        <v>300</v>
      </c>
      <c r="N60" s="113">
        <v>340</v>
      </c>
      <c r="O60" s="111">
        <v>900</v>
      </c>
      <c r="P60" s="114">
        <v>340</v>
      </c>
    </row>
    <row r="61" spans="1:16" x14ac:dyDescent="0.25">
      <c r="A61" s="111" t="s">
        <v>642</v>
      </c>
      <c r="B61" s="111"/>
      <c r="C61" s="111"/>
      <c r="D61" s="111"/>
      <c r="E61" s="113">
        <v>100</v>
      </c>
      <c r="F61" s="113">
        <v>100</v>
      </c>
      <c r="G61" s="113"/>
      <c r="H61" s="113"/>
      <c r="I61" s="113"/>
      <c r="J61" s="113">
        <v>100</v>
      </c>
      <c r="K61" s="113">
        <v>100</v>
      </c>
      <c r="L61" s="113"/>
      <c r="M61" s="113">
        <v>100</v>
      </c>
      <c r="N61" s="113">
        <v>100</v>
      </c>
      <c r="O61" s="113">
        <v>100</v>
      </c>
      <c r="P61" s="114">
        <v>100</v>
      </c>
    </row>
    <row r="62" spans="1:16" x14ac:dyDescent="0.25">
      <c r="A62" s="111" t="s">
        <v>643</v>
      </c>
      <c r="B62" s="111"/>
      <c r="C62" s="111"/>
      <c r="D62" s="111"/>
      <c r="E62" s="113">
        <v>100</v>
      </c>
      <c r="F62" s="113">
        <v>100</v>
      </c>
      <c r="G62" s="113"/>
      <c r="H62" s="113"/>
      <c r="I62" s="113"/>
      <c r="J62" s="113">
        <v>100</v>
      </c>
      <c r="K62" s="113">
        <v>100</v>
      </c>
      <c r="L62" s="113"/>
      <c r="M62" s="113">
        <v>100</v>
      </c>
      <c r="N62" s="113">
        <v>100</v>
      </c>
      <c r="O62" s="113">
        <v>100</v>
      </c>
      <c r="P62" s="114">
        <v>100</v>
      </c>
    </row>
    <row r="63" spans="1:16" x14ac:dyDescent="0.25">
      <c r="A63" s="111" t="s">
        <v>644</v>
      </c>
      <c r="B63" s="111"/>
      <c r="C63" s="111"/>
      <c r="D63" s="111"/>
      <c r="E63" s="113">
        <v>100</v>
      </c>
      <c r="F63" s="113">
        <v>100</v>
      </c>
      <c r="G63" s="113"/>
      <c r="H63" s="113"/>
      <c r="I63" s="113"/>
      <c r="J63" s="113">
        <v>100</v>
      </c>
      <c r="K63" s="113">
        <v>100</v>
      </c>
      <c r="L63" s="113"/>
      <c r="M63" s="113">
        <v>100</v>
      </c>
      <c r="N63" s="113">
        <v>100</v>
      </c>
      <c r="O63" s="113">
        <v>100</v>
      </c>
      <c r="P63" s="114">
        <v>100</v>
      </c>
    </row>
    <row r="64" spans="1:16" x14ac:dyDescent="0.25">
      <c r="A64" s="111" t="s">
        <v>646</v>
      </c>
      <c r="B64" s="111"/>
      <c r="C64" s="111"/>
      <c r="D64" s="111"/>
      <c r="E64" s="113">
        <v>200</v>
      </c>
      <c r="F64" s="113"/>
      <c r="G64" s="113"/>
      <c r="H64" s="113"/>
      <c r="I64" s="113"/>
      <c r="J64" s="113">
        <v>200</v>
      </c>
      <c r="K64" s="113"/>
      <c r="L64" s="113"/>
      <c r="M64" s="113">
        <v>200</v>
      </c>
      <c r="N64" s="115"/>
      <c r="O64" s="115">
        <v>200</v>
      </c>
      <c r="P64" s="114"/>
    </row>
    <row r="65" spans="1:16" x14ac:dyDescent="0.25">
      <c r="A65" s="111" t="s">
        <v>694</v>
      </c>
      <c r="B65" s="111"/>
      <c r="C65" s="111"/>
      <c r="D65" s="111"/>
      <c r="E65" s="113">
        <v>100</v>
      </c>
      <c r="F65" s="113"/>
      <c r="G65" s="113"/>
      <c r="H65" s="113"/>
      <c r="I65" s="113"/>
      <c r="J65" s="113">
        <v>100</v>
      </c>
      <c r="K65" s="113">
        <v>100</v>
      </c>
      <c r="L65" s="113"/>
      <c r="M65" s="113">
        <v>100</v>
      </c>
      <c r="N65" s="115"/>
      <c r="O65" s="113">
        <v>100</v>
      </c>
      <c r="P65" s="114"/>
    </row>
    <row r="66" spans="1:16" x14ac:dyDescent="0.25">
      <c r="A66" s="111" t="s">
        <v>695</v>
      </c>
      <c r="B66" s="111"/>
      <c r="C66" s="111"/>
      <c r="D66" s="111"/>
      <c r="E66" s="113">
        <v>100</v>
      </c>
      <c r="F66" s="113"/>
      <c r="G66" s="113"/>
      <c r="H66" s="113"/>
      <c r="I66" s="113"/>
      <c r="J66" s="113">
        <v>100</v>
      </c>
      <c r="K66" s="113"/>
      <c r="L66" s="113"/>
      <c r="M66" s="113">
        <v>100</v>
      </c>
      <c r="N66" s="115"/>
      <c r="O66" s="113">
        <v>100</v>
      </c>
      <c r="P66" s="114"/>
    </row>
    <row r="67" spans="1:16" x14ac:dyDescent="0.25">
      <c r="A67" s="114" t="s">
        <v>647</v>
      </c>
      <c r="B67" s="114"/>
      <c r="C67" s="114"/>
      <c r="D67" s="114"/>
      <c r="E67" s="113">
        <v>0</v>
      </c>
      <c r="F67" s="113">
        <v>0</v>
      </c>
      <c r="G67" s="113"/>
      <c r="H67" s="113"/>
      <c r="I67" s="113"/>
      <c r="J67" s="113">
        <v>0</v>
      </c>
      <c r="K67" s="113">
        <v>0</v>
      </c>
      <c r="L67" s="113"/>
      <c r="M67" s="113">
        <v>0</v>
      </c>
      <c r="N67" s="113">
        <v>0</v>
      </c>
      <c r="O67" s="113">
        <v>0</v>
      </c>
      <c r="P67" s="113">
        <v>0</v>
      </c>
    </row>
    <row r="68" spans="1:16" x14ac:dyDescent="0.25">
      <c r="A68" s="111" t="s">
        <v>648</v>
      </c>
      <c r="B68" s="111"/>
      <c r="C68" s="111"/>
      <c r="D68" s="111"/>
      <c r="E68" s="113">
        <v>0</v>
      </c>
      <c r="F68" s="113">
        <v>0</v>
      </c>
      <c r="G68" s="113"/>
      <c r="H68" s="113"/>
      <c r="I68" s="113"/>
      <c r="J68" s="113">
        <v>0</v>
      </c>
      <c r="K68" s="113">
        <v>0</v>
      </c>
      <c r="L68" s="113"/>
      <c r="M68" s="113">
        <v>0</v>
      </c>
      <c r="N68" s="113">
        <v>0</v>
      </c>
      <c r="O68" s="113">
        <v>2500</v>
      </c>
      <c r="P68" s="113">
        <v>0</v>
      </c>
    </row>
    <row r="69" spans="1:16" x14ac:dyDescent="0.25">
      <c r="A69" s="111" t="s">
        <v>696</v>
      </c>
      <c r="B69" s="111"/>
      <c r="C69" s="111"/>
      <c r="D69" s="111"/>
      <c r="E69" s="113">
        <v>9000</v>
      </c>
      <c r="F69" s="113">
        <v>11845</v>
      </c>
      <c r="G69" s="113"/>
      <c r="H69" s="113"/>
      <c r="I69" s="113"/>
      <c r="J69" s="113">
        <v>12000</v>
      </c>
      <c r="K69" s="113">
        <v>18198</v>
      </c>
      <c r="L69" s="113"/>
      <c r="M69" s="113">
        <v>10000</v>
      </c>
      <c r="N69" s="113">
        <v>14870</v>
      </c>
      <c r="O69" s="113">
        <v>22000</v>
      </c>
      <c r="P69" s="115">
        <v>21000</v>
      </c>
    </row>
    <row r="70" spans="1:16" x14ac:dyDescent="0.25">
      <c r="A70" s="111" t="s">
        <v>650</v>
      </c>
      <c r="B70" s="111"/>
      <c r="C70" s="111"/>
      <c r="D70" s="111"/>
      <c r="E70" s="113">
        <v>2000</v>
      </c>
      <c r="F70" s="115">
        <v>2500</v>
      </c>
      <c r="G70" s="115"/>
      <c r="H70" s="115"/>
      <c r="I70" s="115"/>
      <c r="J70" s="113">
        <v>2000</v>
      </c>
      <c r="K70" s="115">
        <v>2500</v>
      </c>
      <c r="L70" s="115"/>
      <c r="M70" s="116"/>
      <c r="N70" s="111"/>
      <c r="O70" s="113">
        <v>2000</v>
      </c>
      <c r="P70" s="114">
        <v>2500</v>
      </c>
    </row>
    <row r="71" spans="1:16" x14ac:dyDescent="0.25">
      <c r="A71" s="111" t="s">
        <v>651</v>
      </c>
      <c r="B71" s="111"/>
      <c r="C71" s="111"/>
      <c r="D71" s="111"/>
      <c r="E71" s="116"/>
      <c r="F71" s="111"/>
      <c r="G71" s="111"/>
      <c r="H71" s="111"/>
      <c r="I71" s="111"/>
      <c r="J71" s="113">
        <v>2250</v>
      </c>
      <c r="K71" s="115">
        <v>3000</v>
      </c>
      <c r="L71" s="115"/>
      <c r="M71" s="116"/>
      <c r="N71" s="111"/>
      <c r="O71" s="113">
        <v>2250</v>
      </c>
      <c r="P71" s="114">
        <v>3000</v>
      </c>
    </row>
    <row r="72" spans="1:16" x14ac:dyDescent="0.25">
      <c r="A72" s="111" t="s">
        <v>697</v>
      </c>
      <c r="B72" s="111"/>
      <c r="C72" s="111"/>
      <c r="D72" s="111"/>
      <c r="E72" s="116"/>
      <c r="F72" s="111"/>
      <c r="G72" s="111"/>
      <c r="H72" s="111"/>
      <c r="I72" s="111"/>
      <c r="J72" s="116"/>
      <c r="K72" s="115"/>
      <c r="L72" s="115"/>
      <c r="M72" s="113">
        <v>5000</v>
      </c>
      <c r="N72" s="113">
        <v>3000</v>
      </c>
      <c r="O72" s="116"/>
      <c r="P72" s="111"/>
    </row>
    <row r="73" spans="1:16" x14ac:dyDescent="0.25">
      <c r="A73" s="111" t="s">
        <v>652</v>
      </c>
      <c r="B73" s="111"/>
      <c r="C73" s="111"/>
      <c r="D73" s="111"/>
      <c r="E73" s="116"/>
      <c r="F73" s="111"/>
      <c r="G73" s="111"/>
      <c r="H73" s="111"/>
      <c r="I73" s="111"/>
      <c r="J73" s="116"/>
      <c r="K73" s="115"/>
      <c r="L73" s="115"/>
      <c r="M73" s="116"/>
      <c r="N73" s="111"/>
      <c r="O73" s="113">
        <v>10300</v>
      </c>
      <c r="P73" s="115">
        <v>9885</v>
      </c>
    </row>
    <row r="74" spans="1:16" x14ac:dyDescent="0.25">
      <c r="A74" s="114"/>
      <c r="B74" s="114"/>
      <c r="C74" s="114"/>
      <c r="D74" s="114"/>
      <c r="E74" s="113">
        <f>SUM(E58:E73)</f>
        <v>12450</v>
      </c>
      <c r="F74" s="113">
        <v>15435</v>
      </c>
      <c r="G74" s="113"/>
      <c r="H74" s="113"/>
      <c r="I74" s="113"/>
      <c r="J74" s="113">
        <f>SUM(J58:J73)</f>
        <v>18000</v>
      </c>
      <c r="K74" s="113">
        <v>24888</v>
      </c>
      <c r="L74" s="113"/>
      <c r="M74" s="113">
        <f>SUM(M58:M73)</f>
        <v>16450</v>
      </c>
      <c r="N74" s="113">
        <v>18960</v>
      </c>
      <c r="O74" s="113">
        <f>SUM(O58:O73)</f>
        <v>41100</v>
      </c>
      <c r="P74" s="113">
        <v>37475</v>
      </c>
    </row>
    <row r="75" spans="1:16" x14ac:dyDescent="0.25">
      <c r="A75" s="116"/>
      <c r="B75" s="116"/>
      <c r="C75" s="116"/>
      <c r="D75" s="116"/>
      <c r="E75" s="116"/>
      <c r="F75" s="116"/>
      <c r="G75" s="116"/>
      <c r="H75" s="116"/>
      <c r="I75" s="116"/>
      <c r="J75" s="116"/>
      <c r="K75" s="116"/>
      <c r="L75" s="116"/>
      <c r="M75" s="116"/>
      <c r="N75" s="116"/>
      <c r="O75" s="116"/>
      <c r="P75" s="116"/>
    </row>
    <row r="76" spans="1:16" x14ac:dyDescent="0.25">
      <c r="E76" s="9">
        <f>(E74+J74+M74+O74)</f>
        <v>88000</v>
      </c>
    </row>
    <row r="77" spans="1:16" x14ac:dyDescent="0.25">
      <c r="E77">
        <f>E76/4</f>
        <v>22000</v>
      </c>
    </row>
    <row r="79" spans="1:16" x14ac:dyDescent="0.25">
      <c r="K79" t="s">
        <v>610</v>
      </c>
    </row>
    <row r="83" spans="1:18" x14ac:dyDescent="0.25">
      <c r="A83" s="97"/>
      <c r="B83" s="433" t="s">
        <v>698</v>
      </c>
      <c r="C83" s="433"/>
      <c r="D83" s="433" t="s">
        <v>699</v>
      </c>
      <c r="E83" s="433"/>
      <c r="F83" s="433" t="s">
        <v>700</v>
      </c>
      <c r="G83" s="433"/>
      <c r="H83" s="433" t="s">
        <v>701</v>
      </c>
      <c r="I83" s="433"/>
      <c r="J83" s="433" t="s">
        <v>702</v>
      </c>
      <c r="K83" s="433"/>
      <c r="L83" s="433" t="s">
        <v>703</v>
      </c>
      <c r="M83" s="433"/>
      <c r="N83" s="433" t="s">
        <v>704</v>
      </c>
      <c r="O83" s="433"/>
      <c r="P83" s="433"/>
      <c r="Q83" s="433" t="s">
        <v>705</v>
      </c>
      <c r="R83" s="433"/>
    </row>
    <row r="84" spans="1:18" x14ac:dyDescent="0.25">
      <c r="A84" s="97"/>
      <c r="B84" s="117" t="s">
        <v>637</v>
      </c>
      <c r="C84" s="118" t="s">
        <v>706</v>
      </c>
      <c r="D84" s="117" t="s">
        <v>637</v>
      </c>
      <c r="E84" s="118" t="s">
        <v>706</v>
      </c>
      <c r="F84" s="117" t="s">
        <v>637</v>
      </c>
      <c r="G84" s="118" t="s">
        <v>706</v>
      </c>
      <c r="H84" s="117" t="s">
        <v>637</v>
      </c>
      <c r="I84" s="118" t="s">
        <v>706</v>
      </c>
      <c r="J84" s="117" t="s">
        <v>637</v>
      </c>
      <c r="K84" s="118" t="s">
        <v>706</v>
      </c>
      <c r="L84" s="117" t="s">
        <v>637</v>
      </c>
      <c r="M84" s="118" t="s">
        <v>706</v>
      </c>
      <c r="N84" s="117" t="s">
        <v>637</v>
      </c>
      <c r="O84" s="118" t="s">
        <v>706</v>
      </c>
      <c r="P84" s="119">
        <v>2009</v>
      </c>
      <c r="Q84" s="117" t="s">
        <v>637</v>
      </c>
      <c r="R84" s="118" t="s">
        <v>706</v>
      </c>
    </row>
    <row r="85" spans="1:18" x14ac:dyDescent="0.25">
      <c r="A85" s="120" t="s">
        <v>657</v>
      </c>
      <c r="B85" s="97">
        <v>361</v>
      </c>
      <c r="C85" s="121">
        <v>400</v>
      </c>
      <c r="D85" s="97">
        <v>361</v>
      </c>
      <c r="E85" s="121">
        <v>400</v>
      </c>
      <c r="F85" s="97">
        <v>361</v>
      </c>
      <c r="G85" s="121">
        <v>400</v>
      </c>
      <c r="H85" s="97">
        <v>361</v>
      </c>
      <c r="I85" s="121">
        <v>400</v>
      </c>
      <c r="J85" s="97">
        <v>361</v>
      </c>
      <c r="K85" s="120">
        <v>400</v>
      </c>
      <c r="L85" s="120">
        <v>361</v>
      </c>
      <c r="M85" s="121">
        <v>400</v>
      </c>
      <c r="N85" s="120">
        <v>361</v>
      </c>
      <c r="O85" s="121">
        <v>400</v>
      </c>
      <c r="P85" s="120">
        <v>400</v>
      </c>
      <c r="Q85" s="120">
        <v>361</v>
      </c>
      <c r="R85" s="121"/>
    </row>
    <row r="86" spans="1:18" x14ac:dyDescent="0.25">
      <c r="A86" s="120" t="s">
        <v>707</v>
      </c>
      <c r="B86" s="97">
        <v>600</v>
      </c>
      <c r="C86" s="121">
        <v>450</v>
      </c>
      <c r="D86" s="97">
        <v>600</v>
      </c>
      <c r="E86" s="121">
        <v>450</v>
      </c>
      <c r="F86" s="97">
        <v>600</v>
      </c>
      <c r="G86" s="121">
        <v>450</v>
      </c>
      <c r="H86" s="97">
        <v>600</v>
      </c>
      <c r="I86" s="121">
        <v>450</v>
      </c>
      <c r="J86" s="97">
        <v>600</v>
      </c>
      <c r="K86" s="121">
        <v>450</v>
      </c>
      <c r="L86" s="120">
        <v>600</v>
      </c>
      <c r="M86" s="121">
        <v>450</v>
      </c>
      <c r="N86" s="120">
        <v>600</v>
      </c>
      <c r="O86" s="121">
        <v>450</v>
      </c>
      <c r="P86" s="120">
        <v>450</v>
      </c>
      <c r="Q86" s="120">
        <v>600</v>
      </c>
      <c r="R86" s="121"/>
    </row>
    <row r="87" spans="1:18" x14ac:dyDescent="0.25">
      <c r="A87" s="120" t="s">
        <v>708</v>
      </c>
      <c r="B87" s="97">
        <v>100</v>
      </c>
      <c r="C87" s="121"/>
      <c r="D87" s="97">
        <v>100</v>
      </c>
      <c r="E87" s="121"/>
      <c r="F87" s="97">
        <v>100</v>
      </c>
      <c r="G87" s="121"/>
      <c r="H87" s="97">
        <v>100</v>
      </c>
      <c r="I87" s="121"/>
      <c r="J87" s="97">
        <v>100</v>
      </c>
      <c r="K87" s="121"/>
      <c r="L87" s="120">
        <v>100</v>
      </c>
      <c r="M87" s="121"/>
      <c r="N87" s="120">
        <v>100</v>
      </c>
      <c r="O87" s="121"/>
      <c r="P87" s="120"/>
      <c r="Q87" s="120">
        <v>100</v>
      </c>
      <c r="R87" s="121"/>
    </row>
    <row r="88" spans="1:18" x14ac:dyDescent="0.25">
      <c r="A88" s="120" t="s">
        <v>642</v>
      </c>
      <c r="B88" s="97">
        <v>200</v>
      </c>
      <c r="C88" s="121"/>
      <c r="D88" s="97">
        <v>200</v>
      </c>
      <c r="E88" s="121"/>
      <c r="F88" s="97">
        <v>200</v>
      </c>
      <c r="G88" s="121"/>
      <c r="H88" s="97">
        <v>200</v>
      </c>
      <c r="I88" s="121"/>
      <c r="J88" s="97">
        <v>200</v>
      </c>
      <c r="K88" s="121"/>
      <c r="L88" s="120">
        <v>200</v>
      </c>
      <c r="M88" s="121"/>
      <c r="N88" s="120">
        <v>400</v>
      </c>
      <c r="O88" s="121"/>
      <c r="P88" s="120"/>
      <c r="Q88" s="120">
        <v>400</v>
      </c>
      <c r="R88" s="121"/>
    </row>
    <row r="89" spans="1:18" x14ac:dyDescent="0.25">
      <c r="A89" s="120" t="s">
        <v>709</v>
      </c>
      <c r="B89" s="97">
        <v>200</v>
      </c>
      <c r="C89" s="121"/>
      <c r="D89" s="97">
        <v>200</v>
      </c>
      <c r="E89" s="121"/>
      <c r="F89" s="97">
        <v>200</v>
      </c>
      <c r="G89" s="121"/>
      <c r="H89" s="97">
        <v>300</v>
      </c>
      <c r="I89" s="121"/>
      <c r="J89" s="97">
        <v>300</v>
      </c>
      <c r="K89" s="121"/>
      <c r="L89" s="120">
        <v>300</v>
      </c>
      <c r="M89" s="121"/>
      <c r="N89" s="120">
        <v>300</v>
      </c>
      <c r="O89" s="121"/>
      <c r="P89" s="120"/>
      <c r="Q89" s="120">
        <v>300</v>
      </c>
      <c r="R89" s="121"/>
    </row>
    <row r="90" spans="1:18" x14ac:dyDescent="0.25">
      <c r="A90" s="120" t="s">
        <v>710</v>
      </c>
      <c r="B90" s="97">
        <v>200</v>
      </c>
      <c r="C90" s="121">
        <v>100</v>
      </c>
      <c r="D90" s="97">
        <v>200</v>
      </c>
      <c r="E90" s="121">
        <v>100</v>
      </c>
      <c r="F90" s="97">
        <v>200</v>
      </c>
      <c r="G90" s="121">
        <v>100</v>
      </c>
      <c r="H90" s="97">
        <v>200</v>
      </c>
      <c r="I90" s="121">
        <v>100</v>
      </c>
      <c r="J90" s="97">
        <v>200</v>
      </c>
      <c r="K90" s="121">
        <v>100</v>
      </c>
      <c r="L90" s="120">
        <v>200</v>
      </c>
      <c r="M90" s="121">
        <v>100</v>
      </c>
      <c r="N90" s="120">
        <v>200</v>
      </c>
      <c r="O90" s="121">
        <v>100</v>
      </c>
      <c r="P90" s="120">
        <v>100</v>
      </c>
      <c r="Q90" s="120">
        <v>200</v>
      </c>
      <c r="R90" s="121"/>
    </row>
    <row r="91" spans="1:18" x14ac:dyDescent="0.25">
      <c r="A91" s="120" t="s">
        <v>643</v>
      </c>
      <c r="B91" s="97">
        <v>400</v>
      </c>
      <c r="C91" s="121">
        <v>100</v>
      </c>
      <c r="D91" s="97">
        <v>500</v>
      </c>
      <c r="E91" s="121">
        <v>100</v>
      </c>
      <c r="F91" s="97">
        <v>500</v>
      </c>
      <c r="G91" s="121">
        <v>100</v>
      </c>
      <c r="H91" s="97">
        <v>500</v>
      </c>
      <c r="I91" s="121">
        <v>100</v>
      </c>
      <c r="J91" s="97">
        <v>500</v>
      </c>
      <c r="K91" s="121">
        <v>100</v>
      </c>
      <c r="L91" s="120">
        <v>500</v>
      </c>
      <c r="M91" s="121">
        <v>100</v>
      </c>
      <c r="N91" s="120">
        <v>500</v>
      </c>
      <c r="O91" s="121">
        <v>100</v>
      </c>
      <c r="P91" s="120">
        <v>100</v>
      </c>
      <c r="Q91" s="120">
        <v>500</v>
      </c>
      <c r="R91" s="121"/>
    </row>
    <row r="92" spans="1:18" x14ac:dyDescent="0.25">
      <c r="A92" s="120" t="s">
        <v>645</v>
      </c>
      <c r="B92" s="97">
        <v>130</v>
      </c>
      <c r="C92" s="121">
        <v>250</v>
      </c>
      <c r="D92" s="97">
        <v>130</v>
      </c>
      <c r="E92" s="121">
        <v>250</v>
      </c>
      <c r="F92" s="97">
        <v>130</v>
      </c>
      <c r="G92" s="121">
        <v>250</v>
      </c>
      <c r="H92" s="97">
        <v>130</v>
      </c>
      <c r="I92" s="121">
        <v>250</v>
      </c>
      <c r="J92" s="97">
        <v>130</v>
      </c>
      <c r="K92" s="121">
        <v>250</v>
      </c>
      <c r="L92" s="120">
        <v>130</v>
      </c>
      <c r="M92" s="121">
        <v>250</v>
      </c>
      <c r="N92" s="120">
        <v>130</v>
      </c>
      <c r="O92" s="121">
        <v>250</v>
      </c>
      <c r="P92" s="120">
        <v>250</v>
      </c>
      <c r="Q92" s="120">
        <v>130</v>
      </c>
      <c r="R92" s="121"/>
    </row>
    <row r="93" spans="1:18" x14ac:dyDescent="0.25">
      <c r="A93" s="122" t="s">
        <v>711</v>
      </c>
      <c r="B93" s="120">
        <v>2900</v>
      </c>
      <c r="C93" s="121">
        <v>3000</v>
      </c>
      <c r="D93" s="120">
        <v>2900</v>
      </c>
      <c r="E93" s="121">
        <v>3000</v>
      </c>
      <c r="F93" s="120">
        <v>2900</v>
      </c>
      <c r="G93" s="121">
        <v>3000</v>
      </c>
      <c r="H93" s="120">
        <v>2900</v>
      </c>
      <c r="I93" s="121">
        <v>3000</v>
      </c>
      <c r="J93" s="120">
        <v>2900</v>
      </c>
      <c r="K93" s="121">
        <v>3000</v>
      </c>
      <c r="L93" s="120">
        <v>2900</v>
      </c>
      <c r="M93" s="121">
        <v>3000</v>
      </c>
      <c r="N93" s="120">
        <v>2900</v>
      </c>
      <c r="O93" s="121">
        <v>3000</v>
      </c>
      <c r="P93" s="120">
        <v>3120</v>
      </c>
      <c r="Q93" s="120">
        <v>2900</v>
      </c>
      <c r="R93" s="121"/>
    </row>
    <row r="94" spans="1:18" x14ac:dyDescent="0.25">
      <c r="A94" s="122" t="s">
        <v>712</v>
      </c>
      <c r="B94" s="97">
        <v>250</v>
      </c>
      <c r="C94" s="121">
        <v>100</v>
      </c>
      <c r="D94" s="97">
        <v>250</v>
      </c>
      <c r="E94" s="121">
        <v>100</v>
      </c>
      <c r="F94" s="97">
        <v>250</v>
      </c>
      <c r="G94" s="121">
        <v>100</v>
      </c>
      <c r="H94" s="97">
        <v>250</v>
      </c>
      <c r="I94" s="121">
        <v>100</v>
      </c>
      <c r="J94" s="97">
        <v>250</v>
      </c>
      <c r="K94" s="121">
        <v>100</v>
      </c>
      <c r="L94" s="120">
        <v>250</v>
      </c>
      <c r="M94" s="121">
        <v>100</v>
      </c>
      <c r="N94" s="120">
        <v>250</v>
      </c>
      <c r="O94" s="121">
        <v>100</v>
      </c>
      <c r="P94" s="120">
        <v>2100</v>
      </c>
      <c r="Q94" s="120">
        <v>250</v>
      </c>
      <c r="R94" s="121"/>
    </row>
    <row r="95" spans="1:18" x14ac:dyDescent="0.25">
      <c r="A95" s="122" t="s">
        <v>713</v>
      </c>
      <c r="B95" s="123"/>
      <c r="C95" s="121"/>
      <c r="D95" s="123"/>
      <c r="E95" s="121"/>
      <c r="F95" s="123"/>
      <c r="G95" s="121"/>
      <c r="H95" s="123"/>
      <c r="I95" s="121"/>
      <c r="J95" s="123"/>
      <c r="K95" s="124"/>
      <c r="L95" s="125"/>
      <c r="M95" s="121"/>
      <c r="N95" s="125"/>
      <c r="O95" s="121"/>
      <c r="P95" s="120"/>
      <c r="Q95" s="125"/>
      <c r="R95" s="121"/>
    </row>
    <row r="96" spans="1:18" x14ac:dyDescent="0.25">
      <c r="A96" s="122" t="s">
        <v>712</v>
      </c>
      <c r="B96" s="123"/>
      <c r="C96" s="121"/>
      <c r="D96" s="123"/>
      <c r="E96" s="121"/>
      <c r="F96" s="123"/>
      <c r="G96" s="121"/>
      <c r="H96" s="123"/>
      <c r="I96" s="121"/>
      <c r="J96" s="123"/>
      <c r="K96" s="124"/>
      <c r="L96" s="125"/>
      <c r="M96" s="121"/>
      <c r="N96" s="125"/>
      <c r="O96" s="121"/>
      <c r="P96" s="120"/>
      <c r="Q96" s="125"/>
      <c r="R96" s="121"/>
    </row>
    <row r="97" spans="1:18" x14ac:dyDescent="0.25">
      <c r="A97" s="122" t="s">
        <v>714</v>
      </c>
      <c r="B97" s="123"/>
      <c r="C97" s="121">
        <v>3000</v>
      </c>
      <c r="D97" s="123"/>
      <c r="E97" s="121">
        <v>3000</v>
      </c>
      <c r="F97" s="123"/>
      <c r="G97" s="121">
        <v>3000</v>
      </c>
      <c r="H97" s="123"/>
      <c r="I97" s="121">
        <v>3000</v>
      </c>
      <c r="J97" s="123"/>
      <c r="K97" s="121">
        <v>3000</v>
      </c>
      <c r="L97" s="125"/>
      <c r="M97" s="121">
        <v>3000</v>
      </c>
      <c r="N97" s="125"/>
      <c r="O97" s="121">
        <v>3000</v>
      </c>
      <c r="P97" s="120"/>
      <c r="Q97" s="125"/>
      <c r="R97" s="121"/>
    </row>
    <row r="98" spans="1:18" x14ac:dyDescent="0.25">
      <c r="A98" s="122" t="s">
        <v>712</v>
      </c>
      <c r="B98" s="123"/>
      <c r="C98" s="121">
        <v>100</v>
      </c>
      <c r="D98" s="123"/>
      <c r="E98" s="121">
        <v>100</v>
      </c>
      <c r="F98" s="123"/>
      <c r="G98" s="121">
        <v>100</v>
      </c>
      <c r="H98" s="123"/>
      <c r="I98" s="121">
        <v>100</v>
      </c>
      <c r="J98" s="123"/>
      <c r="K98" s="121">
        <v>100</v>
      </c>
      <c r="L98" s="125"/>
      <c r="M98" s="121">
        <v>100</v>
      </c>
      <c r="N98" s="125"/>
      <c r="O98" s="121">
        <v>100</v>
      </c>
      <c r="P98" s="120"/>
      <c r="Q98" s="125"/>
      <c r="R98" s="121"/>
    </row>
    <row r="99" spans="1:18" x14ac:dyDescent="0.25">
      <c r="A99" s="122" t="s">
        <v>715</v>
      </c>
      <c r="B99" s="120">
        <v>3100</v>
      </c>
      <c r="C99" s="121"/>
      <c r="D99" s="120">
        <v>3100</v>
      </c>
      <c r="E99" s="121"/>
      <c r="F99" s="120">
        <v>3100</v>
      </c>
      <c r="G99" s="121"/>
      <c r="H99" s="120">
        <v>3100</v>
      </c>
      <c r="I99" s="121"/>
      <c r="J99" s="120">
        <v>3100</v>
      </c>
      <c r="K99" s="124"/>
      <c r="L99" s="120">
        <v>3100</v>
      </c>
      <c r="M99" s="121"/>
      <c r="N99" s="120">
        <v>3100</v>
      </c>
      <c r="O99" s="121"/>
      <c r="P99" s="120"/>
      <c r="Q99" s="126"/>
      <c r="R99" s="121"/>
    </row>
    <row r="100" spans="1:18" x14ac:dyDescent="0.25">
      <c r="A100" s="122" t="s">
        <v>712</v>
      </c>
      <c r="B100" s="97">
        <v>250</v>
      </c>
      <c r="C100" s="121"/>
      <c r="D100" s="97">
        <v>250</v>
      </c>
      <c r="E100" s="121"/>
      <c r="F100" s="97">
        <v>250</v>
      </c>
      <c r="G100" s="121"/>
      <c r="H100" s="97">
        <v>250</v>
      </c>
      <c r="I100" s="121"/>
      <c r="J100" s="97">
        <v>250</v>
      </c>
      <c r="K100" s="124"/>
      <c r="L100" s="127">
        <v>250</v>
      </c>
      <c r="M100" s="121"/>
      <c r="N100" s="120">
        <v>250</v>
      </c>
      <c r="O100" s="121"/>
      <c r="P100" s="120"/>
      <c r="Q100" s="126"/>
      <c r="R100" s="121"/>
    </row>
    <row r="101" spans="1:18" x14ac:dyDescent="0.25">
      <c r="A101" s="120" t="s">
        <v>716</v>
      </c>
      <c r="B101" s="120">
        <v>5800</v>
      </c>
      <c r="C101" s="121">
        <v>6000</v>
      </c>
      <c r="D101" s="123"/>
      <c r="E101" s="128"/>
      <c r="F101" s="120">
        <v>10000</v>
      </c>
      <c r="G101" s="121">
        <v>10000</v>
      </c>
      <c r="H101" s="120">
        <v>10000</v>
      </c>
      <c r="I101" s="121">
        <v>6000</v>
      </c>
      <c r="J101" s="123"/>
      <c r="K101" s="124"/>
      <c r="L101" s="125"/>
      <c r="M101" s="121">
        <v>10000</v>
      </c>
      <c r="N101" s="125"/>
      <c r="O101" s="121">
        <v>10000</v>
      </c>
      <c r="P101" s="120">
        <v>10000</v>
      </c>
      <c r="Q101" s="126"/>
      <c r="R101" s="121"/>
    </row>
    <row r="102" spans="1:18" x14ac:dyDescent="0.25">
      <c r="A102" s="122" t="s">
        <v>712</v>
      </c>
      <c r="B102" s="97">
        <v>250</v>
      </c>
      <c r="C102" s="121">
        <v>100</v>
      </c>
      <c r="D102" s="123"/>
      <c r="E102" s="128"/>
      <c r="F102" s="97">
        <v>250</v>
      </c>
      <c r="G102" s="121">
        <v>100</v>
      </c>
      <c r="H102" s="97">
        <v>250</v>
      </c>
      <c r="I102" s="121">
        <v>100</v>
      </c>
      <c r="J102" s="123"/>
      <c r="K102" s="124"/>
      <c r="L102" s="125"/>
      <c r="M102" s="121">
        <v>100</v>
      </c>
      <c r="N102" s="125"/>
      <c r="O102" s="121">
        <v>100</v>
      </c>
      <c r="P102" s="120">
        <v>1200</v>
      </c>
      <c r="Q102" s="125"/>
      <c r="R102" s="121"/>
    </row>
    <row r="103" spans="1:18" x14ac:dyDescent="0.25">
      <c r="A103" s="120" t="s">
        <v>717</v>
      </c>
      <c r="B103" s="123"/>
      <c r="C103" s="121"/>
      <c r="D103" s="123"/>
      <c r="E103" s="97"/>
      <c r="F103" s="123"/>
      <c r="G103" s="121"/>
      <c r="H103" s="120">
        <v>2150</v>
      </c>
      <c r="I103" s="121">
        <v>2150</v>
      </c>
      <c r="J103" s="120">
        <v>2150</v>
      </c>
      <c r="K103" s="121">
        <v>2150</v>
      </c>
      <c r="L103" s="120">
        <v>2150</v>
      </c>
      <c r="M103" s="121">
        <v>2150</v>
      </c>
      <c r="N103" s="120">
        <v>2150</v>
      </c>
      <c r="O103" s="128">
        <v>2150</v>
      </c>
      <c r="P103" s="120">
        <v>2150</v>
      </c>
      <c r="Q103" s="120">
        <v>2150</v>
      </c>
      <c r="R103" s="121"/>
    </row>
    <row r="104" spans="1:18" x14ac:dyDescent="0.25">
      <c r="A104" s="122" t="s">
        <v>718</v>
      </c>
      <c r="B104" s="123"/>
      <c r="C104" s="121"/>
      <c r="D104" s="123"/>
      <c r="E104" s="97"/>
      <c r="F104" s="123"/>
      <c r="G104" s="121"/>
      <c r="H104" s="120">
        <v>1565</v>
      </c>
      <c r="I104" s="121">
        <v>1565</v>
      </c>
      <c r="J104" s="120">
        <v>3130</v>
      </c>
      <c r="K104" s="121">
        <v>1565</v>
      </c>
      <c r="L104" s="120">
        <v>3130</v>
      </c>
      <c r="M104" s="121">
        <v>1565</v>
      </c>
      <c r="N104" s="120">
        <v>3130</v>
      </c>
      <c r="O104" s="128">
        <v>1565</v>
      </c>
      <c r="P104" s="120">
        <v>1665</v>
      </c>
      <c r="Q104" s="120">
        <v>3130</v>
      </c>
      <c r="R104" s="121"/>
    </row>
    <row r="105" spans="1:18" x14ac:dyDescent="0.25">
      <c r="A105" s="120" t="s">
        <v>719</v>
      </c>
      <c r="B105" s="123"/>
      <c r="C105" s="121"/>
      <c r="D105" s="120">
        <v>18000</v>
      </c>
      <c r="E105" s="121">
        <v>12300</v>
      </c>
      <c r="F105" s="123"/>
      <c r="G105" s="121"/>
      <c r="H105" s="123"/>
      <c r="I105" s="121"/>
      <c r="J105" s="120">
        <v>14300</v>
      </c>
      <c r="K105" s="121">
        <v>12300</v>
      </c>
      <c r="L105" s="125"/>
      <c r="M105" s="121"/>
      <c r="N105" s="125"/>
      <c r="O105" s="121"/>
      <c r="P105" s="120"/>
      <c r="Q105" s="125"/>
      <c r="R105" s="121"/>
    </row>
    <row r="106" spans="1:18" x14ac:dyDescent="0.25">
      <c r="A106" s="122" t="s">
        <v>712</v>
      </c>
      <c r="B106" s="123"/>
      <c r="C106" s="121"/>
      <c r="D106" s="97">
        <v>250</v>
      </c>
      <c r="E106" s="121">
        <v>100</v>
      </c>
      <c r="F106" s="123"/>
      <c r="G106" s="121"/>
      <c r="H106" s="123"/>
      <c r="I106" s="120"/>
      <c r="J106" s="97">
        <v>250</v>
      </c>
      <c r="K106" s="121">
        <v>100</v>
      </c>
      <c r="L106" s="125"/>
      <c r="M106" s="121"/>
      <c r="N106" s="125"/>
      <c r="O106" s="121"/>
      <c r="P106" s="120"/>
      <c r="Q106" s="125"/>
      <c r="R106" s="121"/>
    </row>
    <row r="107" spans="1:18" x14ac:dyDescent="0.25">
      <c r="A107" s="122" t="s">
        <v>720</v>
      </c>
      <c r="B107" s="123"/>
      <c r="C107" s="121"/>
      <c r="D107" s="97"/>
      <c r="E107" s="121"/>
      <c r="F107" s="123"/>
      <c r="G107" s="121"/>
      <c r="H107" s="123"/>
      <c r="I107" s="120"/>
      <c r="J107" s="123"/>
      <c r="K107" s="121"/>
      <c r="L107" s="127">
        <v>10000</v>
      </c>
      <c r="M107" s="121"/>
      <c r="N107" s="125"/>
      <c r="O107" s="121"/>
      <c r="P107" s="120"/>
      <c r="Q107" s="126"/>
      <c r="R107" s="121"/>
    </row>
    <row r="108" spans="1:18" x14ac:dyDescent="0.25">
      <c r="A108" s="122" t="s">
        <v>712</v>
      </c>
      <c r="B108" s="123"/>
      <c r="C108" s="121"/>
      <c r="D108" s="97"/>
      <c r="E108" s="121"/>
      <c r="F108" s="123"/>
      <c r="G108" s="121"/>
      <c r="H108" s="123"/>
      <c r="I108" s="120"/>
      <c r="J108" s="123"/>
      <c r="K108" s="121"/>
      <c r="L108" s="127">
        <v>250</v>
      </c>
      <c r="M108" s="121"/>
      <c r="N108" s="125"/>
      <c r="O108" s="121"/>
      <c r="P108" s="120"/>
      <c r="Q108" s="126"/>
      <c r="R108" s="121"/>
    </row>
    <row r="109" spans="1:18" x14ac:dyDescent="0.25">
      <c r="A109" s="122" t="s">
        <v>721</v>
      </c>
      <c r="B109" s="123"/>
      <c r="C109" s="121"/>
      <c r="D109" s="120">
        <v>3400</v>
      </c>
      <c r="E109" s="121">
        <v>6800</v>
      </c>
      <c r="F109" s="123"/>
      <c r="G109" s="121"/>
      <c r="H109" s="123"/>
      <c r="I109" s="120"/>
      <c r="J109" s="120">
        <v>3400</v>
      </c>
      <c r="K109" s="121">
        <v>6800</v>
      </c>
      <c r="L109" s="125"/>
      <c r="M109" s="121"/>
      <c r="N109" s="125"/>
      <c r="O109" s="121"/>
      <c r="P109" s="120"/>
      <c r="Q109" s="126"/>
      <c r="R109" s="121"/>
    </row>
    <row r="110" spans="1:18" x14ac:dyDescent="0.25">
      <c r="A110" s="122" t="s">
        <v>722</v>
      </c>
      <c r="B110" s="123"/>
      <c r="C110" s="121"/>
      <c r="D110" s="123"/>
      <c r="E110" s="121"/>
      <c r="F110" s="120">
        <v>4000</v>
      </c>
      <c r="G110" s="121">
        <v>8000</v>
      </c>
      <c r="H110" s="123"/>
      <c r="I110" s="120"/>
      <c r="J110" s="123"/>
      <c r="K110" s="121"/>
      <c r="L110" s="120">
        <v>4000</v>
      </c>
      <c r="M110" s="121">
        <v>8000</v>
      </c>
      <c r="N110" s="120">
        <v>4000</v>
      </c>
      <c r="O110" s="121">
        <v>8000</v>
      </c>
      <c r="P110" s="120">
        <v>8000</v>
      </c>
      <c r="Q110" s="126"/>
      <c r="R110" s="121"/>
    </row>
    <row r="111" spans="1:18" x14ac:dyDescent="0.25">
      <c r="A111" s="122" t="s">
        <v>723</v>
      </c>
      <c r="B111" s="123"/>
      <c r="C111" s="121"/>
      <c r="D111" s="123"/>
      <c r="E111" s="121"/>
      <c r="F111" s="123"/>
      <c r="G111" s="121"/>
      <c r="H111" s="123"/>
      <c r="I111" s="120"/>
      <c r="J111" s="120">
        <v>14000</v>
      </c>
      <c r="K111" s="121"/>
      <c r="L111" s="120">
        <v>7000</v>
      </c>
      <c r="M111" s="121">
        <v>6200</v>
      </c>
      <c r="N111" s="120">
        <v>7000</v>
      </c>
      <c r="O111" s="121">
        <v>6200</v>
      </c>
      <c r="P111" s="120"/>
      <c r="Q111" s="126"/>
      <c r="R111" s="121"/>
    </row>
    <row r="112" spans="1:18" x14ac:dyDescent="0.25">
      <c r="A112" s="122" t="s">
        <v>712</v>
      </c>
      <c r="B112" s="123"/>
      <c r="C112" s="121"/>
      <c r="D112" s="123"/>
      <c r="E112" s="121"/>
      <c r="F112" s="123"/>
      <c r="G112" s="121"/>
      <c r="H112" s="123"/>
      <c r="I112" s="120"/>
      <c r="J112" s="97">
        <v>250</v>
      </c>
      <c r="K112" s="121"/>
      <c r="L112" s="120">
        <v>250</v>
      </c>
      <c r="M112" s="121">
        <v>100</v>
      </c>
      <c r="N112" s="120">
        <v>250</v>
      </c>
      <c r="O112" s="121">
        <v>100</v>
      </c>
      <c r="P112" s="120"/>
      <c r="Q112" s="126"/>
      <c r="R112" s="121"/>
    </row>
    <row r="113" spans="1:18" x14ac:dyDescent="0.25">
      <c r="A113" s="122" t="s">
        <v>724</v>
      </c>
      <c r="B113" s="123"/>
      <c r="C113" s="121"/>
      <c r="D113" s="123"/>
      <c r="E113" s="128"/>
      <c r="F113" s="123"/>
      <c r="G113" s="121"/>
      <c r="H113" s="123"/>
      <c r="I113" s="120"/>
      <c r="J113" s="129">
        <v>4300</v>
      </c>
      <c r="K113" s="128">
        <v>4300</v>
      </c>
      <c r="L113" s="120">
        <v>4300</v>
      </c>
      <c r="M113" s="121">
        <v>4300</v>
      </c>
      <c r="N113" s="120">
        <v>4300</v>
      </c>
      <c r="O113" s="121">
        <v>4300</v>
      </c>
      <c r="P113" s="120">
        <v>4300</v>
      </c>
      <c r="Q113" s="126"/>
      <c r="R113" s="121"/>
    </row>
    <row r="114" spans="1:18" x14ac:dyDescent="0.25">
      <c r="A114" s="120" t="s">
        <v>725</v>
      </c>
      <c r="B114" s="123"/>
      <c r="C114" s="121"/>
      <c r="D114" s="123"/>
      <c r="E114" s="121"/>
      <c r="F114" s="123"/>
      <c r="G114" s="121"/>
      <c r="H114" s="123"/>
      <c r="I114" s="120"/>
      <c r="J114" s="123"/>
      <c r="K114" s="121"/>
      <c r="L114" s="125"/>
      <c r="M114" s="121"/>
      <c r="N114" s="120">
        <v>35800</v>
      </c>
      <c r="O114" s="121">
        <v>14880</v>
      </c>
      <c r="P114" s="120">
        <v>14880</v>
      </c>
      <c r="Q114" s="126"/>
      <c r="R114" s="121"/>
    </row>
    <row r="115" spans="1:18" x14ac:dyDescent="0.25">
      <c r="A115" s="120" t="s">
        <v>726</v>
      </c>
      <c r="B115" s="97">
        <v>100</v>
      </c>
      <c r="C115" s="121"/>
      <c r="D115" s="97">
        <v>100</v>
      </c>
      <c r="E115" s="121"/>
      <c r="F115" s="97">
        <v>100</v>
      </c>
      <c r="G115" s="121"/>
      <c r="H115" s="97">
        <v>100</v>
      </c>
      <c r="I115" s="120"/>
      <c r="J115" s="97">
        <v>100</v>
      </c>
      <c r="K115" s="121"/>
      <c r="L115" s="120">
        <v>100</v>
      </c>
      <c r="M115" s="121"/>
      <c r="N115" s="120">
        <v>100</v>
      </c>
      <c r="O115" s="121"/>
      <c r="P115" s="120"/>
      <c r="Q115" s="126"/>
      <c r="R115" s="121"/>
    </row>
    <row r="116" spans="1:18" x14ac:dyDescent="0.25">
      <c r="A116" s="120" t="s">
        <v>727</v>
      </c>
      <c r="B116" s="97"/>
      <c r="C116" s="121"/>
      <c r="D116" s="97">
        <v>650</v>
      </c>
      <c r="E116" s="121"/>
      <c r="F116" s="97">
        <v>650</v>
      </c>
      <c r="G116" s="121"/>
      <c r="H116" s="97">
        <v>650</v>
      </c>
      <c r="I116" s="120"/>
      <c r="J116" s="97">
        <v>650</v>
      </c>
      <c r="K116" s="121"/>
      <c r="L116" s="120">
        <v>650</v>
      </c>
      <c r="M116" s="121"/>
      <c r="N116" s="120">
        <v>650</v>
      </c>
      <c r="O116" s="121"/>
      <c r="P116" s="120"/>
      <c r="Q116" s="126"/>
      <c r="R116" s="121"/>
    </row>
    <row r="117" spans="1:18" x14ac:dyDescent="0.25">
      <c r="A117" s="120" t="s">
        <v>728</v>
      </c>
      <c r="B117" s="120">
        <v>1000</v>
      </c>
      <c r="C117" s="121"/>
      <c r="D117" s="120">
        <v>1000</v>
      </c>
      <c r="E117" s="121"/>
      <c r="F117" s="120">
        <v>1000</v>
      </c>
      <c r="G117" s="121"/>
      <c r="H117" s="120">
        <v>1000</v>
      </c>
      <c r="I117" s="120"/>
      <c r="J117" s="120">
        <v>1000</v>
      </c>
      <c r="K117" s="121"/>
      <c r="L117" s="120">
        <v>1000</v>
      </c>
      <c r="M117" s="121"/>
      <c r="N117" s="120">
        <v>1000</v>
      </c>
      <c r="O117" s="121">
        <v>1000</v>
      </c>
      <c r="P117" s="120">
        <v>440</v>
      </c>
      <c r="Q117" s="126"/>
      <c r="R117" s="121"/>
    </row>
    <row r="118" spans="1:18" x14ac:dyDescent="0.25">
      <c r="A118" s="120" t="s">
        <v>729</v>
      </c>
      <c r="B118" s="126"/>
      <c r="C118" s="121"/>
      <c r="D118" s="126"/>
      <c r="E118" s="121"/>
      <c r="F118" s="126"/>
      <c r="G118" s="121"/>
      <c r="H118" s="126"/>
      <c r="I118" s="120"/>
      <c r="J118" s="126"/>
      <c r="K118" s="121"/>
      <c r="L118" s="126"/>
      <c r="M118" s="121"/>
      <c r="N118" s="126"/>
      <c r="O118" s="121"/>
      <c r="P118" s="120"/>
      <c r="Q118" s="127">
        <v>900</v>
      </c>
      <c r="R118" s="121"/>
    </row>
    <row r="119" spans="1:18" x14ac:dyDescent="0.25">
      <c r="A119" s="120" t="s">
        <v>730</v>
      </c>
      <c r="B119" s="126"/>
      <c r="C119" s="121"/>
      <c r="D119" s="126"/>
      <c r="E119" s="121"/>
      <c r="F119" s="126"/>
      <c r="G119" s="121"/>
      <c r="H119" s="126"/>
      <c r="I119" s="120"/>
      <c r="J119" s="126"/>
      <c r="K119" s="121"/>
      <c r="L119" s="126"/>
      <c r="M119" s="121"/>
      <c r="N119" s="126"/>
      <c r="O119" s="121"/>
      <c r="P119" s="120"/>
      <c r="Q119" s="127">
        <v>37700</v>
      </c>
      <c r="R119" s="121"/>
    </row>
    <row r="120" spans="1:18" x14ac:dyDescent="0.25">
      <c r="A120" s="130" t="s">
        <v>731</v>
      </c>
      <c r="B120" s="130">
        <f>SUM(B85:B117)</f>
        <v>15841</v>
      </c>
      <c r="C120" s="131">
        <v>13600</v>
      </c>
      <c r="D120" s="130">
        <f>SUM(D85:D117)</f>
        <v>32191</v>
      </c>
      <c r="E120" s="131">
        <v>26700</v>
      </c>
      <c r="F120" s="130">
        <f>SUM(F85:F117)</f>
        <v>24791</v>
      </c>
      <c r="G120" s="131">
        <v>25600</v>
      </c>
      <c r="H120" s="130">
        <f>SUM(H85:H117)</f>
        <v>24606</v>
      </c>
      <c r="I120" s="131">
        <v>17315</v>
      </c>
      <c r="J120" s="130">
        <f>SUM(J85:J117)</f>
        <v>52421</v>
      </c>
      <c r="K120" s="131">
        <v>34715</v>
      </c>
      <c r="L120" s="132">
        <f>SUM(L85:L117)</f>
        <v>41721</v>
      </c>
      <c r="M120" s="131">
        <v>39915</v>
      </c>
      <c r="N120" s="132">
        <f>SUM(N85:N117)</f>
        <v>67471</v>
      </c>
      <c r="O120" s="131">
        <v>55795</v>
      </c>
      <c r="P120" s="122">
        <v>49155</v>
      </c>
      <c r="Q120" s="132">
        <f>SUM(Q85:Q119)</f>
        <v>49621</v>
      </c>
      <c r="R120" s="131"/>
    </row>
    <row r="122" spans="1:18" x14ac:dyDescent="0.25">
      <c r="B122" s="9">
        <f>(B120+D120+F120+H120)/4</f>
        <v>24357.25</v>
      </c>
    </row>
    <row r="123" spans="1:18" x14ac:dyDescent="0.25">
      <c r="B123" s="9">
        <f>(J120+L120+N120+Q120)/4</f>
        <v>52808.5</v>
      </c>
    </row>
  </sheetData>
  <mergeCells count="13">
    <mergeCell ref="L83:M83"/>
    <mergeCell ref="N83:P83"/>
    <mergeCell ref="Q83:R83"/>
    <mergeCell ref="B3:F3"/>
    <mergeCell ref="G3:K3"/>
    <mergeCell ref="L3:P3"/>
    <mergeCell ref="M56:N56"/>
    <mergeCell ref="O56:P56"/>
    <mergeCell ref="B83:C83"/>
    <mergeCell ref="D83:E83"/>
    <mergeCell ref="F83:G83"/>
    <mergeCell ref="H83:I83"/>
    <mergeCell ref="J83:K8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Normal="100" workbookViewId="0"/>
  </sheetViews>
  <sheetFormatPr defaultRowHeight="12.75" x14ac:dyDescent="0.2"/>
  <cols>
    <col min="1" max="1" width="30.42578125" style="134" customWidth="1"/>
    <col min="2" max="2" width="14" style="134" bestFit="1" customWidth="1"/>
    <col min="3" max="3" width="15.140625" style="134" bestFit="1" customWidth="1"/>
    <col min="4" max="4" width="10" style="134" bestFit="1" customWidth="1"/>
    <col min="5" max="256" width="9.140625" style="134"/>
    <col min="257" max="257" width="19.5703125" style="134" customWidth="1"/>
    <col min="258" max="258" width="14" style="134" bestFit="1" customWidth="1"/>
    <col min="259" max="259" width="15.140625" style="134" bestFit="1" customWidth="1"/>
    <col min="260" max="260" width="10" style="134" bestFit="1" customWidth="1"/>
    <col min="261" max="512" width="9.140625" style="134"/>
    <col min="513" max="513" width="19.5703125" style="134" customWidth="1"/>
    <col min="514" max="514" width="14" style="134" bestFit="1" customWidth="1"/>
    <col min="515" max="515" width="15.140625" style="134" bestFit="1" customWidth="1"/>
    <col min="516" max="516" width="10" style="134" bestFit="1" customWidth="1"/>
    <col min="517" max="768" width="9.140625" style="134"/>
    <col min="769" max="769" width="19.5703125" style="134" customWidth="1"/>
    <col min="770" max="770" width="14" style="134" bestFit="1" customWidth="1"/>
    <col min="771" max="771" width="15.140625" style="134" bestFit="1" customWidth="1"/>
    <col min="772" max="772" width="10" style="134" bestFit="1" customWidth="1"/>
    <col min="773" max="1024" width="9.140625" style="134"/>
    <col min="1025" max="1025" width="19.5703125" style="134" customWidth="1"/>
    <col min="1026" max="1026" width="14" style="134" bestFit="1" customWidth="1"/>
    <col min="1027" max="1027" width="15.140625" style="134" bestFit="1" customWidth="1"/>
    <col min="1028" max="1028" width="10" style="134" bestFit="1" customWidth="1"/>
    <col min="1029" max="1280" width="9.140625" style="134"/>
    <col min="1281" max="1281" width="19.5703125" style="134" customWidth="1"/>
    <col min="1282" max="1282" width="14" style="134" bestFit="1" customWidth="1"/>
    <col min="1283" max="1283" width="15.140625" style="134" bestFit="1" customWidth="1"/>
    <col min="1284" max="1284" width="10" style="134" bestFit="1" customWidth="1"/>
    <col min="1285" max="1536" width="9.140625" style="134"/>
    <col min="1537" max="1537" width="19.5703125" style="134" customWidth="1"/>
    <col min="1538" max="1538" width="14" style="134" bestFit="1" customWidth="1"/>
    <col min="1539" max="1539" width="15.140625" style="134" bestFit="1" customWidth="1"/>
    <col min="1540" max="1540" width="10" style="134" bestFit="1" customWidth="1"/>
    <col min="1541" max="1792" width="9.140625" style="134"/>
    <col min="1793" max="1793" width="19.5703125" style="134" customWidth="1"/>
    <col min="1794" max="1794" width="14" style="134" bestFit="1" customWidth="1"/>
    <col min="1795" max="1795" width="15.140625" style="134" bestFit="1" customWidth="1"/>
    <col min="1796" max="1796" width="10" style="134" bestFit="1" customWidth="1"/>
    <col min="1797" max="2048" width="9.140625" style="134"/>
    <col min="2049" max="2049" width="19.5703125" style="134" customWidth="1"/>
    <col min="2050" max="2050" width="14" style="134" bestFit="1" customWidth="1"/>
    <col min="2051" max="2051" width="15.140625" style="134" bestFit="1" customWidth="1"/>
    <col min="2052" max="2052" width="10" style="134" bestFit="1" customWidth="1"/>
    <col min="2053" max="2304" width="9.140625" style="134"/>
    <col min="2305" max="2305" width="19.5703125" style="134" customWidth="1"/>
    <col min="2306" max="2306" width="14" style="134" bestFit="1" customWidth="1"/>
    <col min="2307" max="2307" width="15.140625" style="134" bestFit="1" customWidth="1"/>
    <col min="2308" max="2308" width="10" style="134" bestFit="1" customWidth="1"/>
    <col min="2309" max="2560" width="9.140625" style="134"/>
    <col min="2561" max="2561" width="19.5703125" style="134" customWidth="1"/>
    <col min="2562" max="2562" width="14" style="134" bestFit="1" customWidth="1"/>
    <col min="2563" max="2563" width="15.140625" style="134" bestFit="1" customWidth="1"/>
    <col min="2564" max="2564" width="10" style="134" bestFit="1" customWidth="1"/>
    <col min="2565" max="2816" width="9.140625" style="134"/>
    <col min="2817" max="2817" width="19.5703125" style="134" customWidth="1"/>
    <col min="2818" max="2818" width="14" style="134" bestFit="1" customWidth="1"/>
    <col min="2819" max="2819" width="15.140625" style="134" bestFit="1" customWidth="1"/>
    <col min="2820" max="2820" width="10" style="134" bestFit="1" customWidth="1"/>
    <col min="2821" max="3072" width="9.140625" style="134"/>
    <col min="3073" max="3073" width="19.5703125" style="134" customWidth="1"/>
    <col min="3074" max="3074" width="14" style="134" bestFit="1" customWidth="1"/>
    <col min="3075" max="3075" width="15.140625" style="134" bestFit="1" customWidth="1"/>
    <col min="3076" max="3076" width="10" style="134" bestFit="1" customWidth="1"/>
    <col min="3077" max="3328" width="9.140625" style="134"/>
    <col min="3329" max="3329" width="19.5703125" style="134" customWidth="1"/>
    <col min="3330" max="3330" width="14" style="134" bestFit="1" customWidth="1"/>
    <col min="3331" max="3331" width="15.140625" style="134" bestFit="1" customWidth="1"/>
    <col min="3332" max="3332" width="10" style="134" bestFit="1" customWidth="1"/>
    <col min="3333" max="3584" width="9.140625" style="134"/>
    <col min="3585" max="3585" width="19.5703125" style="134" customWidth="1"/>
    <col min="3586" max="3586" width="14" style="134" bestFit="1" customWidth="1"/>
    <col min="3587" max="3587" width="15.140625" style="134" bestFit="1" customWidth="1"/>
    <col min="3588" max="3588" width="10" style="134" bestFit="1" customWidth="1"/>
    <col min="3589" max="3840" width="9.140625" style="134"/>
    <col min="3841" max="3841" width="19.5703125" style="134" customWidth="1"/>
    <col min="3842" max="3842" width="14" style="134" bestFit="1" customWidth="1"/>
    <col min="3843" max="3843" width="15.140625" style="134" bestFit="1" customWidth="1"/>
    <col min="3844" max="3844" width="10" style="134" bestFit="1" customWidth="1"/>
    <col min="3845" max="4096" width="9.140625" style="134"/>
    <col min="4097" max="4097" width="19.5703125" style="134" customWidth="1"/>
    <col min="4098" max="4098" width="14" style="134" bestFit="1" customWidth="1"/>
    <col min="4099" max="4099" width="15.140625" style="134" bestFit="1" customWidth="1"/>
    <col min="4100" max="4100" width="10" style="134" bestFit="1" customWidth="1"/>
    <col min="4101" max="4352" width="9.140625" style="134"/>
    <col min="4353" max="4353" width="19.5703125" style="134" customWidth="1"/>
    <col min="4354" max="4354" width="14" style="134" bestFit="1" customWidth="1"/>
    <col min="4355" max="4355" width="15.140625" style="134" bestFit="1" customWidth="1"/>
    <col min="4356" max="4356" width="10" style="134" bestFit="1" customWidth="1"/>
    <col min="4357" max="4608" width="9.140625" style="134"/>
    <col min="4609" max="4609" width="19.5703125" style="134" customWidth="1"/>
    <col min="4610" max="4610" width="14" style="134" bestFit="1" customWidth="1"/>
    <col min="4611" max="4611" width="15.140625" style="134" bestFit="1" customWidth="1"/>
    <col min="4612" max="4612" width="10" style="134" bestFit="1" customWidth="1"/>
    <col min="4613" max="4864" width="9.140625" style="134"/>
    <col min="4865" max="4865" width="19.5703125" style="134" customWidth="1"/>
    <col min="4866" max="4866" width="14" style="134" bestFit="1" customWidth="1"/>
    <col min="4867" max="4867" width="15.140625" style="134" bestFit="1" customWidth="1"/>
    <col min="4868" max="4868" width="10" style="134" bestFit="1" customWidth="1"/>
    <col min="4869" max="5120" width="9.140625" style="134"/>
    <col min="5121" max="5121" width="19.5703125" style="134" customWidth="1"/>
    <col min="5122" max="5122" width="14" style="134" bestFit="1" customWidth="1"/>
    <col min="5123" max="5123" width="15.140625" style="134" bestFit="1" customWidth="1"/>
    <col min="5124" max="5124" width="10" style="134" bestFit="1" customWidth="1"/>
    <col min="5125" max="5376" width="9.140625" style="134"/>
    <col min="5377" max="5377" width="19.5703125" style="134" customWidth="1"/>
    <col min="5378" max="5378" width="14" style="134" bestFit="1" customWidth="1"/>
    <col min="5379" max="5379" width="15.140625" style="134" bestFit="1" customWidth="1"/>
    <col min="5380" max="5380" width="10" style="134" bestFit="1" customWidth="1"/>
    <col min="5381" max="5632" width="9.140625" style="134"/>
    <col min="5633" max="5633" width="19.5703125" style="134" customWidth="1"/>
    <col min="5634" max="5634" width="14" style="134" bestFit="1" customWidth="1"/>
    <col min="5635" max="5635" width="15.140625" style="134" bestFit="1" customWidth="1"/>
    <col min="5636" max="5636" width="10" style="134" bestFit="1" customWidth="1"/>
    <col min="5637" max="5888" width="9.140625" style="134"/>
    <col min="5889" max="5889" width="19.5703125" style="134" customWidth="1"/>
    <col min="5890" max="5890" width="14" style="134" bestFit="1" customWidth="1"/>
    <col min="5891" max="5891" width="15.140625" style="134" bestFit="1" customWidth="1"/>
    <col min="5892" max="5892" width="10" style="134" bestFit="1" customWidth="1"/>
    <col min="5893" max="6144" width="9.140625" style="134"/>
    <col min="6145" max="6145" width="19.5703125" style="134" customWidth="1"/>
    <col min="6146" max="6146" width="14" style="134" bestFit="1" customWidth="1"/>
    <col min="6147" max="6147" width="15.140625" style="134" bestFit="1" customWidth="1"/>
    <col min="6148" max="6148" width="10" style="134" bestFit="1" customWidth="1"/>
    <col min="6149" max="6400" width="9.140625" style="134"/>
    <col min="6401" max="6401" width="19.5703125" style="134" customWidth="1"/>
    <col min="6402" max="6402" width="14" style="134" bestFit="1" customWidth="1"/>
    <col min="6403" max="6403" width="15.140625" style="134" bestFit="1" customWidth="1"/>
    <col min="6404" max="6404" width="10" style="134" bestFit="1" customWidth="1"/>
    <col min="6405" max="6656" width="9.140625" style="134"/>
    <col min="6657" max="6657" width="19.5703125" style="134" customWidth="1"/>
    <col min="6658" max="6658" width="14" style="134" bestFit="1" customWidth="1"/>
    <col min="6659" max="6659" width="15.140625" style="134" bestFit="1" customWidth="1"/>
    <col min="6660" max="6660" width="10" style="134" bestFit="1" customWidth="1"/>
    <col min="6661" max="6912" width="9.140625" style="134"/>
    <col min="6913" max="6913" width="19.5703125" style="134" customWidth="1"/>
    <col min="6914" max="6914" width="14" style="134" bestFit="1" customWidth="1"/>
    <col min="6915" max="6915" width="15.140625" style="134" bestFit="1" customWidth="1"/>
    <col min="6916" max="6916" width="10" style="134" bestFit="1" customWidth="1"/>
    <col min="6917" max="7168" width="9.140625" style="134"/>
    <col min="7169" max="7169" width="19.5703125" style="134" customWidth="1"/>
    <col min="7170" max="7170" width="14" style="134" bestFit="1" customWidth="1"/>
    <col min="7171" max="7171" width="15.140625" style="134" bestFit="1" customWidth="1"/>
    <col min="7172" max="7172" width="10" style="134" bestFit="1" customWidth="1"/>
    <col min="7173" max="7424" width="9.140625" style="134"/>
    <col min="7425" max="7425" width="19.5703125" style="134" customWidth="1"/>
    <col min="7426" max="7426" width="14" style="134" bestFit="1" customWidth="1"/>
    <col min="7427" max="7427" width="15.140625" style="134" bestFit="1" customWidth="1"/>
    <col min="7428" max="7428" width="10" style="134" bestFit="1" customWidth="1"/>
    <col min="7429" max="7680" width="9.140625" style="134"/>
    <col min="7681" max="7681" width="19.5703125" style="134" customWidth="1"/>
    <col min="7682" max="7682" width="14" style="134" bestFit="1" customWidth="1"/>
    <col min="7683" max="7683" width="15.140625" style="134" bestFit="1" customWidth="1"/>
    <col min="7684" max="7684" width="10" style="134" bestFit="1" customWidth="1"/>
    <col min="7685" max="7936" width="9.140625" style="134"/>
    <col min="7937" max="7937" width="19.5703125" style="134" customWidth="1"/>
    <col min="7938" max="7938" width="14" style="134" bestFit="1" customWidth="1"/>
    <col min="7939" max="7939" width="15.140625" style="134" bestFit="1" customWidth="1"/>
    <col min="7940" max="7940" width="10" style="134" bestFit="1" customWidth="1"/>
    <col min="7941" max="8192" width="9.140625" style="134"/>
    <col min="8193" max="8193" width="19.5703125" style="134" customWidth="1"/>
    <col min="8194" max="8194" width="14" style="134" bestFit="1" customWidth="1"/>
    <col min="8195" max="8195" width="15.140625" style="134" bestFit="1" customWidth="1"/>
    <col min="8196" max="8196" width="10" style="134" bestFit="1" customWidth="1"/>
    <col min="8197" max="8448" width="9.140625" style="134"/>
    <col min="8449" max="8449" width="19.5703125" style="134" customWidth="1"/>
    <col min="8450" max="8450" width="14" style="134" bestFit="1" customWidth="1"/>
    <col min="8451" max="8451" width="15.140625" style="134" bestFit="1" customWidth="1"/>
    <col min="8452" max="8452" width="10" style="134" bestFit="1" customWidth="1"/>
    <col min="8453" max="8704" width="9.140625" style="134"/>
    <col min="8705" max="8705" width="19.5703125" style="134" customWidth="1"/>
    <col min="8706" max="8706" width="14" style="134" bestFit="1" customWidth="1"/>
    <col min="8707" max="8707" width="15.140625" style="134" bestFit="1" customWidth="1"/>
    <col min="8708" max="8708" width="10" style="134" bestFit="1" customWidth="1"/>
    <col min="8709" max="8960" width="9.140625" style="134"/>
    <col min="8961" max="8961" width="19.5703125" style="134" customWidth="1"/>
    <col min="8962" max="8962" width="14" style="134" bestFit="1" customWidth="1"/>
    <col min="8963" max="8963" width="15.140625" style="134" bestFit="1" customWidth="1"/>
    <col min="8964" max="8964" width="10" style="134" bestFit="1" customWidth="1"/>
    <col min="8965" max="9216" width="9.140625" style="134"/>
    <col min="9217" max="9217" width="19.5703125" style="134" customWidth="1"/>
    <col min="9218" max="9218" width="14" style="134" bestFit="1" customWidth="1"/>
    <col min="9219" max="9219" width="15.140625" style="134" bestFit="1" customWidth="1"/>
    <col min="9220" max="9220" width="10" style="134" bestFit="1" customWidth="1"/>
    <col min="9221" max="9472" width="9.140625" style="134"/>
    <col min="9473" max="9473" width="19.5703125" style="134" customWidth="1"/>
    <col min="9474" max="9474" width="14" style="134" bestFit="1" customWidth="1"/>
    <col min="9475" max="9475" width="15.140625" style="134" bestFit="1" customWidth="1"/>
    <col min="9476" max="9476" width="10" style="134" bestFit="1" customWidth="1"/>
    <col min="9477" max="9728" width="9.140625" style="134"/>
    <col min="9729" max="9729" width="19.5703125" style="134" customWidth="1"/>
    <col min="9730" max="9730" width="14" style="134" bestFit="1" customWidth="1"/>
    <col min="9731" max="9731" width="15.140625" style="134" bestFit="1" customWidth="1"/>
    <col min="9732" max="9732" width="10" style="134" bestFit="1" customWidth="1"/>
    <col min="9733" max="9984" width="9.140625" style="134"/>
    <col min="9985" max="9985" width="19.5703125" style="134" customWidth="1"/>
    <col min="9986" max="9986" width="14" style="134" bestFit="1" customWidth="1"/>
    <col min="9987" max="9987" width="15.140625" style="134" bestFit="1" customWidth="1"/>
    <col min="9988" max="9988" width="10" style="134" bestFit="1" customWidth="1"/>
    <col min="9989" max="10240" width="9.140625" style="134"/>
    <col min="10241" max="10241" width="19.5703125" style="134" customWidth="1"/>
    <col min="10242" max="10242" width="14" style="134" bestFit="1" customWidth="1"/>
    <col min="10243" max="10243" width="15.140625" style="134" bestFit="1" customWidth="1"/>
    <col min="10244" max="10244" width="10" style="134" bestFit="1" customWidth="1"/>
    <col min="10245" max="10496" width="9.140625" style="134"/>
    <col min="10497" max="10497" width="19.5703125" style="134" customWidth="1"/>
    <col min="10498" max="10498" width="14" style="134" bestFit="1" customWidth="1"/>
    <col min="10499" max="10499" width="15.140625" style="134" bestFit="1" customWidth="1"/>
    <col min="10500" max="10500" width="10" style="134" bestFit="1" customWidth="1"/>
    <col min="10501" max="10752" width="9.140625" style="134"/>
    <col min="10753" max="10753" width="19.5703125" style="134" customWidth="1"/>
    <col min="10754" max="10754" width="14" style="134" bestFit="1" customWidth="1"/>
    <col min="10755" max="10755" width="15.140625" style="134" bestFit="1" customWidth="1"/>
    <col min="10756" max="10756" width="10" style="134" bestFit="1" customWidth="1"/>
    <col min="10757" max="11008" width="9.140625" style="134"/>
    <col min="11009" max="11009" width="19.5703125" style="134" customWidth="1"/>
    <col min="11010" max="11010" width="14" style="134" bestFit="1" customWidth="1"/>
    <col min="11011" max="11011" width="15.140625" style="134" bestFit="1" customWidth="1"/>
    <col min="11012" max="11012" width="10" style="134" bestFit="1" customWidth="1"/>
    <col min="11013" max="11264" width="9.140625" style="134"/>
    <col min="11265" max="11265" width="19.5703125" style="134" customWidth="1"/>
    <col min="11266" max="11266" width="14" style="134" bestFit="1" customWidth="1"/>
    <col min="11267" max="11267" width="15.140625" style="134" bestFit="1" customWidth="1"/>
    <col min="11268" max="11268" width="10" style="134" bestFit="1" customWidth="1"/>
    <col min="11269" max="11520" width="9.140625" style="134"/>
    <col min="11521" max="11521" width="19.5703125" style="134" customWidth="1"/>
    <col min="11522" max="11522" width="14" style="134" bestFit="1" customWidth="1"/>
    <col min="11523" max="11523" width="15.140625" style="134" bestFit="1" customWidth="1"/>
    <col min="11524" max="11524" width="10" style="134" bestFit="1" customWidth="1"/>
    <col min="11525" max="11776" width="9.140625" style="134"/>
    <col min="11777" max="11777" width="19.5703125" style="134" customWidth="1"/>
    <col min="11778" max="11778" width="14" style="134" bestFit="1" customWidth="1"/>
    <col min="11779" max="11779" width="15.140625" style="134" bestFit="1" customWidth="1"/>
    <col min="11780" max="11780" width="10" style="134" bestFit="1" customWidth="1"/>
    <col min="11781" max="12032" width="9.140625" style="134"/>
    <col min="12033" max="12033" width="19.5703125" style="134" customWidth="1"/>
    <col min="12034" max="12034" width="14" style="134" bestFit="1" customWidth="1"/>
    <col min="12035" max="12035" width="15.140625" style="134" bestFit="1" customWidth="1"/>
    <col min="12036" max="12036" width="10" style="134" bestFit="1" customWidth="1"/>
    <col min="12037" max="12288" width="9.140625" style="134"/>
    <col min="12289" max="12289" width="19.5703125" style="134" customWidth="1"/>
    <col min="12290" max="12290" width="14" style="134" bestFit="1" customWidth="1"/>
    <col min="12291" max="12291" width="15.140625" style="134" bestFit="1" customWidth="1"/>
    <col min="12292" max="12292" width="10" style="134" bestFit="1" customWidth="1"/>
    <col min="12293" max="12544" width="9.140625" style="134"/>
    <col min="12545" max="12545" width="19.5703125" style="134" customWidth="1"/>
    <col min="12546" max="12546" width="14" style="134" bestFit="1" customWidth="1"/>
    <col min="12547" max="12547" width="15.140625" style="134" bestFit="1" customWidth="1"/>
    <col min="12548" max="12548" width="10" style="134" bestFit="1" customWidth="1"/>
    <col min="12549" max="12800" width="9.140625" style="134"/>
    <col min="12801" max="12801" width="19.5703125" style="134" customWidth="1"/>
    <col min="12802" max="12802" width="14" style="134" bestFit="1" customWidth="1"/>
    <col min="12803" max="12803" width="15.140625" style="134" bestFit="1" customWidth="1"/>
    <col min="12804" max="12804" width="10" style="134" bestFit="1" customWidth="1"/>
    <col min="12805" max="13056" width="9.140625" style="134"/>
    <col min="13057" max="13057" width="19.5703125" style="134" customWidth="1"/>
    <col min="13058" max="13058" width="14" style="134" bestFit="1" customWidth="1"/>
    <col min="13059" max="13059" width="15.140625" style="134" bestFit="1" customWidth="1"/>
    <col min="13060" max="13060" width="10" style="134" bestFit="1" customWidth="1"/>
    <col min="13061" max="13312" width="9.140625" style="134"/>
    <col min="13313" max="13313" width="19.5703125" style="134" customWidth="1"/>
    <col min="13314" max="13314" width="14" style="134" bestFit="1" customWidth="1"/>
    <col min="13315" max="13315" width="15.140625" style="134" bestFit="1" customWidth="1"/>
    <col min="13316" max="13316" width="10" style="134" bestFit="1" customWidth="1"/>
    <col min="13317" max="13568" width="9.140625" style="134"/>
    <col min="13569" max="13569" width="19.5703125" style="134" customWidth="1"/>
    <col min="13570" max="13570" width="14" style="134" bestFit="1" customWidth="1"/>
    <col min="13571" max="13571" width="15.140625" style="134" bestFit="1" customWidth="1"/>
    <col min="13572" max="13572" width="10" style="134" bestFit="1" customWidth="1"/>
    <col min="13573" max="13824" width="9.140625" style="134"/>
    <col min="13825" max="13825" width="19.5703125" style="134" customWidth="1"/>
    <col min="13826" max="13826" width="14" style="134" bestFit="1" customWidth="1"/>
    <col min="13827" max="13827" width="15.140625" style="134" bestFit="1" customWidth="1"/>
    <col min="13828" max="13828" width="10" style="134" bestFit="1" customWidth="1"/>
    <col min="13829" max="14080" width="9.140625" style="134"/>
    <col min="14081" max="14081" width="19.5703125" style="134" customWidth="1"/>
    <col min="14082" max="14082" width="14" style="134" bestFit="1" customWidth="1"/>
    <col min="14083" max="14083" width="15.140625" style="134" bestFit="1" customWidth="1"/>
    <col min="14084" max="14084" width="10" style="134" bestFit="1" customWidth="1"/>
    <col min="14085" max="14336" width="9.140625" style="134"/>
    <col min="14337" max="14337" width="19.5703125" style="134" customWidth="1"/>
    <col min="14338" max="14338" width="14" style="134" bestFit="1" customWidth="1"/>
    <col min="14339" max="14339" width="15.140625" style="134" bestFit="1" customWidth="1"/>
    <col min="14340" max="14340" width="10" style="134" bestFit="1" customWidth="1"/>
    <col min="14341" max="14592" width="9.140625" style="134"/>
    <col min="14593" max="14593" width="19.5703125" style="134" customWidth="1"/>
    <col min="14594" max="14594" width="14" style="134" bestFit="1" customWidth="1"/>
    <col min="14595" max="14595" width="15.140625" style="134" bestFit="1" customWidth="1"/>
    <col min="14596" max="14596" width="10" style="134" bestFit="1" customWidth="1"/>
    <col min="14597" max="14848" width="9.140625" style="134"/>
    <col min="14849" max="14849" width="19.5703125" style="134" customWidth="1"/>
    <col min="14850" max="14850" width="14" style="134" bestFit="1" customWidth="1"/>
    <col min="14851" max="14851" width="15.140625" style="134" bestFit="1" customWidth="1"/>
    <col min="14852" max="14852" width="10" style="134" bestFit="1" customWidth="1"/>
    <col min="14853" max="15104" width="9.140625" style="134"/>
    <col min="15105" max="15105" width="19.5703125" style="134" customWidth="1"/>
    <col min="15106" max="15106" width="14" style="134" bestFit="1" customWidth="1"/>
    <col min="15107" max="15107" width="15.140625" style="134" bestFit="1" customWidth="1"/>
    <col min="15108" max="15108" width="10" style="134" bestFit="1" customWidth="1"/>
    <col min="15109" max="15360" width="9.140625" style="134"/>
    <col min="15361" max="15361" width="19.5703125" style="134" customWidth="1"/>
    <col min="15362" max="15362" width="14" style="134" bestFit="1" customWidth="1"/>
    <col min="15363" max="15363" width="15.140625" style="134" bestFit="1" customWidth="1"/>
    <col min="15364" max="15364" width="10" style="134" bestFit="1" customWidth="1"/>
    <col min="15365" max="15616" width="9.140625" style="134"/>
    <col min="15617" max="15617" width="19.5703125" style="134" customWidth="1"/>
    <col min="15618" max="15618" width="14" style="134" bestFit="1" customWidth="1"/>
    <col min="15619" max="15619" width="15.140625" style="134" bestFit="1" customWidth="1"/>
    <col min="15620" max="15620" width="10" style="134" bestFit="1" customWidth="1"/>
    <col min="15621" max="15872" width="9.140625" style="134"/>
    <col min="15873" max="15873" width="19.5703125" style="134" customWidth="1"/>
    <col min="15874" max="15874" width="14" style="134" bestFit="1" customWidth="1"/>
    <col min="15875" max="15875" width="15.140625" style="134" bestFit="1" customWidth="1"/>
    <col min="15876" max="15876" width="10" style="134" bestFit="1" customWidth="1"/>
    <col min="15877" max="16128" width="9.140625" style="134"/>
    <col min="16129" max="16129" width="19.5703125" style="134" customWidth="1"/>
    <col min="16130" max="16130" width="14" style="134" bestFit="1" customWidth="1"/>
    <col min="16131" max="16131" width="15.140625" style="134" bestFit="1" customWidth="1"/>
    <col min="16132" max="16132" width="10" style="134" bestFit="1" customWidth="1"/>
    <col min="16133" max="16384" width="9.140625" style="134"/>
  </cols>
  <sheetData>
    <row r="1" spans="1:4" ht="102" x14ac:dyDescent="0.2">
      <c r="A1" s="187" t="s">
        <v>785</v>
      </c>
    </row>
    <row r="3" spans="1:4" ht="18" customHeight="1" x14ac:dyDescent="0.25">
      <c r="A3" s="133" t="s">
        <v>757</v>
      </c>
      <c r="B3" s="10" t="s">
        <v>758</v>
      </c>
    </row>
    <row r="4" spans="1:4" ht="18" customHeight="1" thickBot="1" x14ac:dyDescent="0.25"/>
    <row r="5" spans="1:4" ht="18" customHeight="1" thickBot="1" x14ac:dyDescent="0.25">
      <c r="A5" s="444" t="s">
        <v>607</v>
      </c>
      <c r="B5" s="445"/>
      <c r="C5" s="135" t="s">
        <v>759</v>
      </c>
    </row>
    <row r="6" spans="1:4" ht="18" customHeight="1" x14ac:dyDescent="0.2">
      <c r="A6" s="136" t="s">
        <v>760</v>
      </c>
      <c r="B6" s="137">
        <v>614</v>
      </c>
      <c r="C6" s="138">
        <f>C18</f>
        <v>6</v>
      </c>
    </row>
    <row r="7" spans="1:4" ht="18" customHeight="1" x14ac:dyDescent="0.2">
      <c r="A7" s="136" t="s">
        <v>761</v>
      </c>
      <c r="B7" s="137">
        <v>578</v>
      </c>
      <c r="C7" s="138">
        <f>C18</f>
        <v>6</v>
      </c>
    </row>
    <row r="8" spans="1:4" ht="18" customHeight="1" x14ac:dyDescent="0.2">
      <c r="A8" s="136" t="s">
        <v>609</v>
      </c>
      <c r="B8" s="137">
        <v>298</v>
      </c>
      <c r="C8" s="138">
        <f>2*C18</f>
        <v>12</v>
      </c>
    </row>
    <row r="9" spans="1:4" ht="18" customHeight="1" x14ac:dyDescent="0.2">
      <c r="A9" s="136" t="s">
        <v>762</v>
      </c>
      <c r="B9" s="137">
        <v>269</v>
      </c>
      <c r="C9" s="138">
        <v>1</v>
      </c>
    </row>
    <row r="10" spans="1:4" ht="18" customHeight="1" x14ac:dyDescent="0.2">
      <c r="A10" s="136" t="s">
        <v>763</v>
      </c>
      <c r="B10" s="137">
        <v>262</v>
      </c>
      <c r="C10" s="138">
        <v>2</v>
      </c>
    </row>
    <row r="11" spans="1:4" ht="18" customHeight="1" thickBot="1" x14ac:dyDescent="0.25">
      <c r="A11" s="139" t="s">
        <v>764</v>
      </c>
      <c r="B11" s="140">
        <v>300</v>
      </c>
      <c r="C11" s="141">
        <v>1</v>
      </c>
    </row>
    <row r="12" spans="1:4" ht="18" customHeight="1" thickBot="1" x14ac:dyDescent="0.25">
      <c r="C12" s="142"/>
    </row>
    <row r="13" spans="1:4" ht="18" customHeight="1" thickBot="1" x14ac:dyDescent="0.25">
      <c r="A13" s="446" t="s">
        <v>612</v>
      </c>
      <c r="B13" s="447"/>
      <c r="C13" s="143"/>
      <c r="D13" s="144"/>
    </row>
    <row r="14" spans="1:4" ht="18" customHeight="1" x14ac:dyDescent="0.2">
      <c r="A14" s="145"/>
      <c r="B14" s="146"/>
      <c r="C14" s="147" t="s">
        <v>765</v>
      </c>
      <c r="D14" s="148" t="s">
        <v>766</v>
      </c>
    </row>
    <row r="15" spans="1:4" ht="18" customHeight="1" thickBot="1" x14ac:dyDescent="0.25">
      <c r="A15" s="149" t="s">
        <v>767</v>
      </c>
      <c r="B15" s="150">
        <v>3211</v>
      </c>
      <c r="C15" s="151">
        <v>5.76</v>
      </c>
      <c r="D15" s="152">
        <f>+B15*C15</f>
        <v>18495.36</v>
      </c>
    </row>
    <row r="16" spans="1:4" ht="18" customHeight="1" thickBot="1" x14ac:dyDescent="0.25"/>
    <row r="17" spans="1:3" ht="18" customHeight="1" thickBot="1" x14ac:dyDescent="0.25">
      <c r="A17" s="444" t="s">
        <v>768</v>
      </c>
      <c r="B17" s="445"/>
      <c r="C17" s="448"/>
    </row>
    <row r="18" spans="1:3" s="156" customFormat="1" ht="18" customHeight="1" x14ac:dyDescent="0.2">
      <c r="A18" s="153" t="s">
        <v>769</v>
      </c>
      <c r="B18" s="154"/>
      <c r="C18" s="155">
        <v>6</v>
      </c>
    </row>
    <row r="19" spans="1:3" ht="18" customHeight="1" x14ac:dyDescent="0.2">
      <c r="A19" s="441" t="s">
        <v>770</v>
      </c>
      <c r="B19" s="442"/>
      <c r="C19" s="157">
        <v>6335</v>
      </c>
    </row>
    <row r="20" spans="1:3" ht="18" customHeight="1" x14ac:dyDescent="0.2">
      <c r="A20" s="441" t="s">
        <v>771</v>
      </c>
      <c r="B20" s="442"/>
      <c r="C20" s="157">
        <v>3000</v>
      </c>
    </row>
    <row r="21" spans="1:3" ht="18" customHeight="1" x14ac:dyDescent="0.2">
      <c r="A21" s="441" t="s">
        <v>772</v>
      </c>
      <c r="B21" s="442"/>
      <c r="C21" s="157">
        <v>125</v>
      </c>
    </row>
    <row r="22" spans="1:3" ht="18" customHeight="1" x14ac:dyDescent="0.2">
      <c r="A22" s="441" t="s">
        <v>773</v>
      </c>
      <c r="B22" s="442"/>
      <c r="C22" s="157">
        <v>150</v>
      </c>
    </row>
    <row r="23" spans="1:3" ht="18" customHeight="1" thickBot="1" x14ac:dyDescent="0.25">
      <c r="A23" s="158" t="s">
        <v>774</v>
      </c>
      <c r="B23" s="159"/>
      <c r="C23" s="160">
        <v>1653</v>
      </c>
    </row>
    <row r="24" spans="1:3" ht="18" customHeight="1" x14ac:dyDescent="0.2">
      <c r="A24" s="161"/>
      <c r="B24" s="161"/>
      <c r="C24" s="162"/>
    </row>
    <row r="25" spans="1:3" ht="18" customHeight="1" thickBot="1" x14ac:dyDescent="0.25">
      <c r="A25" s="443"/>
      <c r="B25" s="443"/>
      <c r="C25" s="163"/>
    </row>
    <row r="26" spans="1:3" ht="18" customHeight="1" thickBot="1" x14ac:dyDescent="0.25">
      <c r="A26" s="164"/>
      <c r="B26" s="165"/>
      <c r="C26" s="135" t="s">
        <v>775</v>
      </c>
    </row>
    <row r="27" spans="1:3" ht="18" customHeight="1" x14ac:dyDescent="0.2">
      <c r="A27" s="166" t="s">
        <v>619</v>
      </c>
      <c r="B27" s="167"/>
      <c r="C27" s="168">
        <f>B15*C15</f>
        <v>18495.36</v>
      </c>
    </row>
    <row r="28" spans="1:3" ht="18" customHeight="1" x14ac:dyDescent="0.2">
      <c r="A28" s="136" t="s">
        <v>776</v>
      </c>
      <c r="B28" s="167"/>
      <c r="C28" s="168">
        <v>2121</v>
      </c>
    </row>
    <row r="29" spans="1:3" ht="18" customHeight="1" x14ac:dyDescent="0.2">
      <c r="A29" s="136" t="s">
        <v>777</v>
      </c>
      <c r="B29" s="167"/>
      <c r="C29" s="168"/>
    </row>
    <row r="30" spans="1:3" ht="18" customHeight="1" x14ac:dyDescent="0.2">
      <c r="A30" s="169" t="s">
        <v>760</v>
      </c>
      <c r="C30" s="168">
        <f t="shared" ref="C30:C35" si="0">B6*C6</f>
        <v>3684</v>
      </c>
    </row>
    <row r="31" spans="1:3" ht="18" customHeight="1" x14ac:dyDescent="0.2">
      <c r="A31" s="169" t="s">
        <v>761</v>
      </c>
      <c r="C31" s="168">
        <f t="shared" si="0"/>
        <v>3468</v>
      </c>
    </row>
    <row r="32" spans="1:3" ht="18" customHeight="1" x14ac:dyDescent="0.2">
      <c r="A32" s="169" t="s">
        <v>609</v>
      </c>
      <c r="C32" s="168">
        <f t="shared" si="0"/>
        <v>3576</v>
      </c>
    </row>
    <row r="33" spans="1:3" ht="18" customHeight="1" x14ac:dyDescent="0.2">
      <c r="A33" s="169" t="s">
        <v>762</v>
      </c>
      <c r="C33" s="170">
        <f t="shared" si="0"/>
        <v>269</v>
      </c>
    </row>
    <row r="34" spans="1:3" ht="18" customHeight="1" x14ac:dyDescent="0.2">
      <c r="A34" s="169" t="s">
        <v>763</v>
      </c>
      <c r="C34" s="170">
        <f t="shared" si="0"/>
        <v>524</v>
      </c>
    </row>
    <row r="35" spans="1:3" ht="18" customHeight="1" x14ac:dyDescent="0.2">
      <c r="A35" s="169" t="s">
        <v>778</v>
      </c>
      <c r="C35" s="170">
        <f t="shared" si="0"/>
        <v>300</v>
      </c>
    </row>
    <row r="36" spans="1:3" ht="18" customHeight="1" x14ac:dyDescent="0.2">
      <c r="A36" s="136" t="s">
        <v>779</v>
      </c>
      <c r="B36" s="167"/>
      <c r="C36" s="168">
        <v>12146</v>
      </c>
    </row>
    <row r="37" spans="1:3" ht="18" customHeight="1" x14ac:dyDescent="0.2">
      <c r="A37" s="136" t="s">
        <v>389</v>
      </c>
      <c r="B37" s="167"/>
      <c r="C37" s="168">
        <f>C19</f>
        <v>6335</v>
      </c>
    </row>
    <row r="38" spans="1:3" ht="18" customHeight="1" x14ac:dyDescent="0.2">
      <c r="A38" s="136" t="s">
        <v>780</v>
      </c>
      <c r="B38" s="167"/>
      <c r="C38" s="171">
        <f>C20</f>
        <v>3000</v>
      </c>
    </row>
    <row r="39" spans="1:3" ht="18" customHeight="1" x14ac:dyDescent="0.2">
      <c r="A39" s="136" t="s">
        <v>781</v>
      </c>
      <c r="B39" s="167"/>
      <c r="C39" s="171">
        <f>C21+C22+C23</f>
        <v>1928</v>
      </c>
    </row>
    <row r="40" spans="1:3" ht="18" customHeight="1" x14ac:dyDescent="0.2">
      <c r="A40" s="172" t="s">
        <v>782</v>
      </c>
      <c r="B40" s="173"/>
      <c r="C40" s="174">
        <f>SUM(C27:C39)</f>
        <v>55846.36</v>
      </c>
    </row>
    <row r="41" spans="1:3" ht="18" customHeight="1" thickBot="1" x14ac:dyDescent="0.25">
      <c r="A41" s="175" t="s">
        <v>783</v>
      </c>
      <c r="B41" s="176"/>
      <c r="C41" s="177">
        <f>C40*0.3</f>
        <v>16753.907999999999</v>
      </c>
    </row>
    <row r="42" spans="1:3" ht="18" customHeight="1" thickBot="1" x14ac:dyDescent="0.25">
      <c r="A42" s="178" t="s">
        <v>784</v>
      </c>
      <c r="B42" s="179"/>
      <c r="C42" s="180">
        <f>SUM(C40:C41)</f>
        <v>72600.267999999996</v>
      </c>
    </row>
    <row r="43" spans="1:3" x14ac:dyDescent="0.2">
      <c r="A43" s="181"/>
      <c r="B43" s="167"/>
      <c r="C43" s="182"/>
    </row>
    <row r="44" spans="1:3" s="186" customFormat="1" x14ac:dyDescent="0.2">
      <c r="A44" s="183"/>
      <c r="B44" s="184"/>
      <c r="C44" s="185"/>
    </row>
    <row r="45" spans="1:3" s="186" customFormat="1" x14ac:dyDescent="0.2"/>
    <row r="46" spans="1:3" s="186" customFormat="1" x14ac:dyDescent="0.2"/>
    <row r="47" spans="1:3" s="186" customFormat="1" x14ac:dyDescent="0.2"/>
    <row r="48" spans="1:3" s="186" customFormat="1" x14ac:dyDescent="0.2"/>
    <row r="49" s="186" customFormat="1" x14ac:dyDescent="0.2"/>
    <row r="50" s="186" customFormat="1" x14ac:dyDescent="0.2"/>
    <row r="51" s="186" customFormat="1" x14ac:dyDescent="0.2"/>
  </sheetData>
  <mergeCells count="8">
    <mergeCell ref="A22:B22"/>
    <mergeCell ref="A25:B25"/>
    <mergeCell ref="A5:B5"/>
    <mergeCell ref="A13:B13"/>
    <mergeCell ref="A17:C17"/>
    <mergeCell ref="A19:B19"/>
    <mergeCell ref="A20:B20"/>
    <mergeCell ref="A21:B21"/>
  </mergeCells>
  <pageMargins left="0.7" right="0.7" top="0.75" bottom="0.75" header="0.3" footer="0.3"/>
  <pageSetup paperSize="9" orientation="portrait" r:id="rId1"/>
  <headerFooter>
    <oddFooter>&amp;L&amp;8&amp;D&amp;C&amp;8&amp;F&amp;A&amp;R&amp;8&amp;P/&amp;N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Normal="100" workbookViewId="0"/>
  </sheetViews>
  <sheetFormatPr defaultRowHeight="12.75" x14ac:dyDescent="0.2"/>
  <cols>
    <col min="1" max="1" width="27.28515625" style="134" customWidth="1"/>
    <col min="2" max="2" width="14" style="134" bestFit="1" customWidth="1"/>
    <col min="3" max="3" width="15.140625" style="134" bestFit="1" customWidth="1"/>
    <col min="4" max="4" width="10" style="134" bestFit="1" customWidth="1"/>
    <col min="5" max="256" width="9.140625" style="134"/>
    <col min="257" max="257" width="19.5703125" style="134" customWidth="1"/>
    <col min="258" max="258" width="14" style="134" bestFit="1" customWidth="1"/>
    <col min="259" max="259" width="15.140625" style="134" bestFit="1" customWidth="1"/>
    <col min="260" max="260" width="10" style="134" bestFit="1" customWidth="1"/>
    <col min="261" max="512" width="9.140625" style="134"/>
    <col min="513" max="513" width="19.5703125" style="134" customWidth="1"/>
    <col min="514" max="514" width="14" style="134" bestFit="1" customWidth="1"/>
    <col min="515" max="515" width="15.140625" style="134" bestFit="1" customWidth="1"/>
    <col min="516" max="516" width="10" style="134" bestFit="1" customWidth="1"/>
    <col min="517" max="768" width="9.140625" style="134"/>
    <col min="769" max="769" width="19.5703125" style="134" customWidth="1"/>
    <col min="770" max="770" width="14" style="134" bestFit="1" customWidth="1"/>
    <col min="771" max="771" width="15.140625" style="134" bestFit="1" customWidth="1"/>
    <col min="772" max="772" width="10" style="134" bestFit="1" customWidth="1"/>
    <col min="773" max="1024" width="9.140625" style="134"/>
    <col min="1025" max="1025" width="19.5703125" style="134" customWidth="1"/>
    <col min="1026" max="1026" width="14" style="134" bestFit="1" customWidth="1"/>
    <col min="1027" max="1027" width="15.140625" style="134" bestFit="1" customWidth="1"/>
    <col min="1028" max="1028" width="10" style="134" bestFit="1" customWidth="1"/>
    <col min="1029" max="1280" width="9.140625" style="134"/>
    <col min="1281" max="1281" width="19.5703125" style="134" customWidth="1"/>
    <col min="1282" max="1282" width="14" style="134" bestFit="1" customWidth="1"/>
    <col min="1283" max="1283" width="15.140625" style="134" bestFit="1" customWidth="1"/>
    <col min="1284" max="1284" width="10" style="134" bestFit="1" customWidth="1"/>
    <col min="1285" max="1536" width="9.140625" style="134"/>
    <col min="1537" max="1537" width="19.5703125" style="134" customWidth="1"/>
    <col min="1538" max="1538" width="14" style="134" bestFit="1" customWidth="1"/>
    <col min="1539" max="1539" width="15.140625" style="134" bestFit="1" customWidth="1"/>
    <col min="1540" max="1540" width="10" style="134" bestFit="1" customWidth="1"/>
    <col min="1541" max="1792" width="9.140625" style="134"/>
    <col min="1793" max="1793" width="19.5703125" style="134" customWidth="1"/>
    <col min="1794" max="1794" width="14" style="134" bestFit="1" customWidth="1"/>
    <col min="1795" max="1795" width="15.140625" style="134" bestFit="1" customWidth="1"/>
    <col min="1796" max="1796" width="10" style="134" bestFit="1" customWidth="1"/>
    <col min="1797" max="2048" width="9.140625" style="134"/>
    <col min="2049" max="2049" width="19.5703125" style="134" customWidth="1"/>
    <col min="2050" max="2050" width="14" style="134" bestFit="1" customWidth="1"/>
    <col min="2051" max="2051" width="15.140625" style="134" bestFit="1" customWidth="1"/>
    <col min="2052" max="2052" width="10" style="134" bestFit="1" customWidth="1"/>
    <col min="2053" max="2304" width="9.140625" style="134"/>
    <col min="2305" max="2305" width="19.5703125" style="134" customWidth="1"/>
    <col min="2306" max="2306" width="14" style="134" bestFit="1" customWidth="1"/>
    <col min="2307" max="2307" width="15.140625" style="134" bestFit="1" customWidth="1"/>
    <col min="2308" max="2308" width="10" style="134" bestFit="1" customWidth="1"/>
    <col min="2309" max="2560" width="9.140625" style="134"/>
    <col min="2561" max="2561" width="19.5703125" style="134" customWidth="1"/>
    <col min="2562" max="2562" width="14" style="134" bestFit="1" customWidth="1"/>
    <col min="2563" max="2563" width="15.140625" style="134" bestFit="1" customWidth="1"/>
    <col min="2564" max="2564" width="10" style="134" bestFit="1" customWidth="1"/>
    <col min="2565" max="2816" width="9.140625" style="134"/>
    <col min="2817" max="2817" width="19.5703125" style="134" customWidth="1"/>
    <col min="2818" max="2818" width="14" style="134" bestFit="1" customWidth="1"/>
    <col min="2819" max="2819" width="15.140625" style="134" bestFit="1" customWidth="1"/>
    <col min="2820" max="2820" width="10" style="134" bestFit="1" customWidth="1"/>
    <col min="2821" max="3072" width="9.140625" style="134"/>
    <col min="3073" max="3073" width="19.5703125" style="134" customWidth="1"/>
    <col min="3074" max="3074" width="14" style="134" bestFit="1" customWidth="1"/>
    <col min="3075" max="3075" width="15.140625" style="134" bestFit="1" customWidth="1"/>
    <col min="3076" max="3076" width="10" style="134" bestFit="1" customWidth="1"/>
    <col min="3077" max="3328" width="9.140625" style="134"/>
    <col min="3329" max="3329" width="19.5703125" style="134" customWidth="1"/>
    <col min="3330" max="3330" width="14" style="134" bestFit="1" customWidth="1"/>
    <col min="3331" max="3331" width="15.140625" style="134" bestFit="1" customWidth="1"/>
    <col min="3332" max="3332" width="10" style="134" bestFit="1" customWidth="1"/>
    <col min="3333" max="3584" width="9.140625" style="134"/>
    <col min="3585" max="3585" width="19.5703125" style="134" customWidth="1"/>
    <col min="3586" max="3586" width="14" style="134" bestFit="1" customWidth="1"/>
    <col min="3587" max="3587" width="15.140625" style="134" bestFit="1" customWidth="1"/>
    <col min="3588" max="3588" width="10" style="134" bestFit="1" customWidth="1"/>
    <col min="3589" max="3840" width="9.140625" style="134"/>
    <col min="3841" max="3841" width="19.5703125" style="134" customWidth="1"/>
    <col min="3842" max="3842" width="14" style="134" bestFit="1" customWidth="1"/>
    <col min="3843" max="3843" width="15.140625" style="134" bestFit="1" customWidth="1"/>
    <col min="3844" max="3844" width="10" style="134" bestFit="1" customWidth="1"/>
    <col min="3845" max="4096" width="9.140625" style="134"/>
    <col min="4097" max="4097" width="19.5703125" style="134" customWidth="1"/>
    <col min="4098" max="4098" width="14" style="134" bestFit="1" customWidth="1"/>
    <col min="4099" max="4099" width="15.140625" style="134" bestFit="1" customWidth="1"/>
    <col min="4100" max="4100" width="10" style="134" bestFit="1" customWidth="1"/>
    <col min="4101" max="4352" width="9.140625" style="134"/>
    <col min="4353" max="4353" width="19.5703125" style="134" customWidth="1"/>
    <col min="4354" max="4354" width="14" style="134" bestFit="1" customWidth="1"/>
    <col min="4355" max="4355" width="15.140625" style="134" bestFit="1" customWidth="1"/>
    <col min="4356" max="4356" width="10" style="134" bestFit="1" customWidth="1"/>
    <col min="4357" max="4608" width="9.140625" style="134"/>
    <col min="4609" max="4609" width="19.5703125" style="134" customWidth="1"/>
    <col min="4610" max="4610" width="14" style="134" bestFit="1" customWidth="1"/>
    <col min="4611" max="4611" width="15.140625" style="134" bestFit="1" customWidth="1"/>
    <col min="4612" max="4612" width="10" style="134" bestFit="1" customWidth="1"/>
    <col min="4613" max="4864" width="9.140625" style="134"/>
    <col min="4865" max="4865" width="19.5703125" style="134" customWidth="1"/>
    <col min="4866" max="4866" width="14" style="134" bestFit="1" customWidth="1"/>
    <col min="4867" max="4867" width="15.140625" style="134" bestFit="1" customWidth="1"/>
    <col min="4868" max="4868" width="10" style="134" bestFit="1" customWidth="1"/>
    <col min="4869" max="5120" width="9.140625" style="134"/>
    <col min="5121" max="5121" width="19.5703125" style="134" customWidth="1"/>
    <col min="5122" max="5122" width="14" style="134" bestFit="1" customWidth="1"/>
    <col min="5123" max="5123" width="15.140625" style="134" bestFit="1" customWidth="1"/>
    <col min="5124" max="5124" width="10" style="134" bestFit="1" customWidth="1"/>
    <col min="5125" max="5376" width="9.140625" style="134"/>
    <col min="5377" max="5377" width="19.5703125" style="134" customWidth="1"/>
    <col min="5378" max="5378" width="14" style="134" bestFit="1" customWidth="1"/>
    <col min="5379" max="5379" width="15.140625" style="134" bestFit="1" customWidth="1"/>
    <col min="5380" max="5380" width="10" style="134" bestFit="1" customWidth="1"/>
    <col min="5381" max="5632" width="9.140625" style="134"/>
    <col min="5633" max="5633" width="19.5703125" style="134" customWidth="1"/>
    <col min="5634" max="5634" width="14" style="134" bestFit="1" customWidth="1"/>
    <col min="5635" max="5635" width="15.140625" style="134" bestFit="1" customWidth="1"/>
    <col min="5636" max="5636" width="10" style="134" bestFit="1" customWidth="1"/>
    <col min="5637" max="5888" width="9.140625" style="134"/>
    <col min="5889" max="5889" width="19.5703125" style="134" customWidth="1"/>
    <col min="5890" max="5890" width="14" style="134" bestFit="1" customWidth="1"/>
    <col min="5891" max="5891" width="15.140625" style="134" bestFit="1" customWidth="1"/>
    <col min="5892" max="5892" width="10" style="134" bestFit="1" customWidth="1"/>
    <col min="5893" max="6144" width="9.140625" style="134"/>
    <col min="6145" max="6145" width="19.5703125" style="134" customWidth="1"/>
    <col min="6146" max="6146" width="14" style="134" bestFit="1" customWidth="1"/>
    <col min="6147" max="6147" width="15.140625" style="134" bestFit="1" customWidth="1"/>
    <col min="6148" max="6148" width="10" style="134" bestFit="1" customWidth="1"/>
    <col min="6149" max="6400" width="9.140625" style="134"/>
    <col min="6401" max="6401" width="19.5703125" style="134" customWidth="1"/>
    <col min="6402" max="6402" width="14" style="134" bestFit="1" customWidth="1"/>
    <col min="6403" max="6403" width="15.140625" style="134" bestFit="1" customWidth="1"/>
    <col min="6404" max="6404" width="10" style="134" bestFit="1" customWidth="1"/>
    <col min="6405" max="6656" width="9.140625" style="134"/>
    <col min="6657" max="6657" width="19.5703125" style="134" customWidth="1"/>
    <col min="6658" max="6658" width="14" style="134" bestFit="1" customWidth="1"/>
    <col min="6659" max="6659" width="15.140625" style="134" bestFit="1" customWidth="1"/>
    <col min="6660" max="6660" width="10" style="134" bestFit="1" customWidth="1"/>
    <col min="6661" max="6912" width="9.140625" style="134"/>
    <col min="6913" max="6913" width="19.5703125" style="134" customWidth="1"/>
    <col min="6914" max="6914" width="14" style="134" bestFit="1" customWidth="1"/>
    <col min="6915" max="6915" width="15.140625" style="134" bestFit="1" customWidth="1"/>
    <col min="6916" max="6916" width="10" style="134" bestFit="1" customWidth="1"/>
    <col min="6917" max="7168" width="9.140625" style="134"/>
    <col min="7169" max="7169" width="19.5703125" style="134" customWidth="1"/>
    <col min="7170" max="7170" width="14" style="134" bestFit="1" customWidth="1"/>
    <col min="7171" max="7171" width="15.140625" style="134" bestFit="1" customWidth="1"/>
    <col min="7172" max="7172" width="10" style="134" bestFit="1" customWidth="1"/>
    <col min="7173" max="7424" width="9.140625" style="134"/>
    <col min="7425" max="7425" width="19.5703125" style="134" customWidth="1"/>
    <col min="7426" max="7426" width="14" style="134" bestFit="1" customWidth="1"/>
    <col min="7427" max="7427" width="15.140625" style="134" bestFit="1" customWidth="1"/>
    <col min="7428" max="7428" width="10" style="134" bestFit="1" customWidth="1"/>
    <col min="7429" max="7680" width="9.140625" style="134"/>
    <col min="7681" max="7681" width="19.5703125" style="134" customWidth="1"/>
    <col min="7682" max="7682" width="14" style="134" bestFit="1" customWidth="1"/>
    <col min="7683" max="7683" width="15.140625" style="134" bestFit="1" customWidth="1"/>
    <col min="7684" max="7684" width="10" style="134" bestFit="1" customWidth="1"/>
    <col min="7685" max="7936" width="9.140625" style="134"/>
    <col min="7937" max="7937" width="19.5703125" style="134" customWidth="1"/>
    <col min="7938" max="7938" width="14" style="134" bestFit="1" customWidth="1"/>
    <col min="7939" max="7939" width="15.140625" style="134" bestFit="1" customWidth="1"/>
    <col min="7940" max="7940" width="10" style="134" bestFit="1" customWidth="1"/>
    <col min="7941" max="8192" width="9.140625" style="134"/>
    <col min="8193" max="8193" width="19.5703125" style="134" customWidth="1"/>
    <col min="8194" max="8194" width="14" style="134" bestFit="1" customWidth="1"/>
    <col min="8195" max="8195" width="15.140625" style="134" bestFit="1" customWidth="1"/>
    <col min="8196" max="8196" width="10" style="134" bestFit="1" customWidth="1"/>
    <col min="8197" max="8448" width="9.140625" style="134"/>
    <col min="8449" max="8449" width="19.5703125" style="134" customWidth="1"/>
    <col min="8450" max="8450" width="14" style="134" bestFit="1" customWidth="1"/>
    <col min="8451" max="8451" width="15.140625" style="134" bestFit="1" customWidth="1"/>
    <col min="8452" max="8452" width="10" style="134" bestFit="1" customWidth="1"/>
    <col min="8453" max="8704" width="9.140625" style="134"/>
    <col min="8705" max="8705" width="19.5703125" style="134" customWidth="1"/>
    <col min="8706" max="8706" width="14" style="134" bestFit="1" customWidth="1"/>
    <col min="8707" max="8707" width="15.140625" style="134" bestFit="1" customWidth="1"/>
    <col min="8708" max="8708" width="10" style="134" bestFit="1" customWidth="1"/>
    <col min="8709" max="8960" width="9.140625" style="134"/>
    <col min="8961" max="8961" width="19.5703125" style="134" customWidth="1"/>
    <col min="8962" max="8962" width="14" style="134" bestFit="1" customWidth="1"/>
    <col min="8963" max="8963" width="15.140625" style="134" bestFit="1" customWidth="1"/>
    <col min="8964" max="8964" width="10" style="134" bestFit="1" customWidth="1"/>
    <col min="8965" max="9216" width="9.140625" style="134"/>
    <col min="9217" max="9217" width="19.5703125" style="134" customWidth="1"/>
    <col min="9218" max="9218" width="14" style="134" bestFit="1" customWidth="1"/>
    <col min="9219" max="9219" width="15.140625" style="134" bestFit="1" customWidth="1"/>
    <col min="9220" max="9220" width="10" style="134" bestFit="1" customWidth="1"/>
    <col min="9221" max="9472" width="9.140625" style="134"/>
    <col min="9473" max="9473" width="19.5703125" style="134" customWidth="1"/>
    <col min="9474" max="9474" width="14" style="134" bestFit="1" customWidth="1"/>
    <col min="9475" max="9475" width="15.140625" style="134" bestFit="1" customWidth="1"/>
    <col min="9476" max="9476" width="10" style="134" bestFit="1" customWidth="1"/>
    <col min="9477" max="9728" width="9.140625" style="134"/>
    <col min="9729" max="9729" width="19.5703125" style="134" customWidth="1"/>
    <col min="9730" max="9730" width="14" style="134" bestFit="1" customWidth="1"/>
    <col min="9731" max="9731" width="15.140625" style="134" bestFit="1" customWidth="1"/>
    <col min="9732" max="9732" width="10" style="134" bestFit="1" customWidth="1"/>
    <col min="9733" max="9984" width="9.140625" style="134"/>
    <col min="9985" max="9985" width="19.5703125" style="134" customWidth="1"/>
    <col min="9986" max="9986" width="14" style="134" bestFit="1" customWidth="1"/>
    <col min="9987" max="9987" width="15.140625" style="134" bestFit="1" customWidth="1"/>
    <col min="9988" max="9988" width="10" style="134" bestFit="1" customWidth="1"/>
    <col min="9989" max="10240" width="9.140625" style="134"/>
    <col min="10241" max="10241" width="19.5703125" style="134" customWidth="1"/>
    <col min="10242" max="10242" width="14" style="134" bestFit="1" customWidth="1"/>
    <col min="10243" max="10243" width="15.140625" style="134" bestFit="1" customWidth="1"/>
    <col min="10244" max="10244" width="10" style="134" bestFit="1" customWidth="1"/>
    <col min="10245" max="10496" width="9.140625" style="134"/>
    <col min="10497" max="10497" width="19.5703125" style="134" customWidth="1"/>
    <col min="10498" max="10498" width="14" style="134" bestFit="1" customWidth="1"/>
    <col min="10499" max="10499" width="15.140625" style="134" bestFit="1" customWidth="1"/>
    <col min="10500" max="10500" width="10" style="134" bestFit="1" customWidth="1"/>
    <col min="10501" max="10752" width="9.140625" style="134"/>
    <col min="10753" max="10753" width="19.5703125" style="134" customWidth="1"/>
    <col min="10754" max="10754" width="14" style="134" bestFit="1" customWidth="1"/>
    <col min="10755" max="10755" width="15.140625" style="134" bestFit="1" customWidth="1"/>
    <col min="10756" max="10756" width="10" style="134" bestFit="1" customWidth="1"/>
    <col min="10757" max="11008" width="9.140625" style="134"/>
    <col min="11009" max="11009" width="19.5703125" style="134" customWidth="1"/>
    <col min="11010" max="11010" width="14" style="134" bestFit="1" customWidth="1"/>
    <col min="11011" max="11011" width="15.140625" style="134" bestFit="1" customWidth="1"/>
    <col min="11012" max="11012" width="10" style="134" bestFit="1" customWidth="1"/>
    <col min="11013" max="11264" width="9.140625" style="134"/>
    <col min="11265" max="11265" width="19.5703125" style="134" customWidth="1"/>
    <col min="11266" max="11266" width="14" style="134" bestFit="1" customWidth="1"/>
    <col min="11267" max="11267" width="15.140625" style="134" bestFit="1" customWidth="1"/>
    <col min="11268" max="11268" width="10" style="134" bestFit="1" customWidth="1"/>
    <col min="11269" max="11520" width="9.140625" style="134"/>
    <col min="11521" max="11521" width="19.5703125" style="134" customWidth="1"/>
    <col min="11522" max="11522" width="14" style="134" bestFit="1" customWidth="1"/>
    <col min="11523" max="11523" width="15.140625" style="134" bestFit="1" customWidth="1"/>
    <col min="11524" max="11524" width="10" style="134" bestFit="1" customWidth="1"/>
    <col min="11525" max="11776" width="9.140625" style="134"/>
    <col min="11777" max="11777" width="19.5703125" style="134" customWidth="1"/>
    <col min="11778" max="11778" width="14" style="134" bestFit="1" customWidth="1"/>
    <col min="11779" max="11779" width="15.140625" style="134" bestFit="1" customWidth="1"/>
    <col min="11780" max="11780" width="10" style="134" bestFit="1" customWidth="1"/>
    <col min="11781" max="12032" width="9.140625" style="134"/>
    <col min="12033" max="12033" width="19.5703125" style="134" customWidth="1"/>
    <col min="12034" max="12034" width="14" style="134" bestFit="1" customWidth="1"/>
    <col min="12035" max="12035" width="15.140625" style="134" bestFit="1" customWidth="1"/>
    <col min="12036" max="12036" width="10" style="134" bestFit="1" customWidth="1"/>
    <col min="12037" max="12288" width="9.140625" style="134"/>
    <col min="12289" max="12289" width="19.5703125" style="134" customWidth="1"/>
    <col min="12290" max="12290" width="14" style="134" bestFit="1" customWidth="1"/>
    <col min="12291" max="12291" width="15.140625" style="134" bestFit="1" customWidth="1"/>
    <col min="12292" max="12292" width="10" style="134" bestFit="1" customWidth="1"/>
    <col min="12293" max="12544" width="9.140625" style="134"/>
    <col min="12545" max="12545" width="19.5703125" style="134" customWidth="1"/>
    <col min="12546" max="12546" width="14" style="134" bestFit="1" customWidth="1"/>
    <col min="12547" max="12547" width="15.140625" style="134" bestFit="1" customWidth="1"/>
    <col min="12548" max="12548" width="10" style="134" bestFit="1" customWidth="1"/>
    <col min="12549" max="12800" width="9.140625" style="134"/>
    <col min="12801" max="12801" width="19.5703125" style="134" customWidth="1"/>
    <col min="12802" max="12802" width="14" style="134" bestFit="1" customWidth="1"/>
    <col min="12803" max="12803" width="15.140625" style="134" bestFit="1" customWidth="1"/>
    <col min="12804" max="12804" width="10" style="134" bestFit="1" customWidth="1"/>
    <col min="12805" max="13056" width="9.140625" style="134"/>
    <col min="13057" max="13057" width="19.5703125" style="134" customWidth="1"/>
    <col min="13058" max="13058" width="14" style="134" bestFit="1" customWidth="1"/>
    <col min="13059" max="13059" width="15.140625" style="134" bestFit="1" customWidth="1"/>
    <col min="13060" max="13060" width="10" style="134" bestFit="1" customWidth="1"/>
    <col min="13061" max="13312" width="9.140625" style="134"/>
    <col min="13313" max="13313" width="19.5703125" style="134" customWidth="1"/>
    <col min="13314" max="13314" width="14" style="134" bestFit="1" customWidth="1"/>
    <col min="13315" max="13315" width="15.140625" style="134" bestFit="1" customWidth="1"/>
    <col min="13316" max="13316" width="10" style="134" bestFit="1" customWidth="1"/>
    <col min="13317" max="13568" width="9.140625" style="134"/>
    <col min="13569" max="13569" width="19.5703125" style="134" customWidth="1"/>
    <col min="13570" max="13570" width="14" style="134" bestFit="1" customWidth="1"/>
    <col min="13571" max="13571" width="15.140625" style="134" bestFit="1" customWidth="1"/>
    <col min="13572" max="13572" width="10" style="134" bestFit="1" customWidth="1"/>
    <col min="13573" max="13824" width="9.140625" style="134"/>
    <col min="13825" max="13825" width="19.5703125" style="134" customWidth="1"/>
    <col min="13826" max="13826" width="14" style="134" bestFit="1" customWidth="1"/>
    <col min="13827" max="13827" width="15.140625" style="134" bestFit="1" customWidth="1"/>
    <col min="13828" max="13828" width="10" style="134" bestFit="1" customWidth="1"/>
    <col min="13829" max="14080" width="9.140625" style="134"/>
    <col min="14081" max="14081" width="19.5703125" style="134" customWidth="1"/>
    <col min="14082" max="14082" width="14" style="134" bestFit="1" customWidth="1"/>
    <col min="14083" max="14083" width="15.140625" style="134" bestFit="1" customWidth="1"/>
    <col min="14084" max="14084" width="10" style="134" bestFit="1" customWidth="1"/>
    <col min="14085" max="14336" width="9.140625" style="134"/>
    <col min="14337" max="14337" width="19.5703125" style="134" customWidth="1"/>
    <col min="14338" max="14338" width="14" style="134" bestFit="1" customWidth="1"/>
    <col min="14339" max="14339" width="15.140625" style="134" bestFit="1" customWidth="1"/>
    <col min="14340" max="14340" width="10" style="134" bestFit="1" customWidth="1"/>
    <col min="14341" max="14592" width="9.140625" style="134"/>
    <col min="14593" max="14593" width="19.5703125" style="134" customWidth="1"/>
    <col min="14594" max="14594" width="14" style="134" bestFit="1" customWidth="1"/>
    <col min="14595" max="14595" width="15.140625" style="134" bestFit="1" customWidth="1"/>
    <col min="14596" max="14596" width="10" style="134" bestFit="1" customWidth="1"/>
    <col min="14597" max="14848" width="9.140625" style="134"/>
    <col min="14849" max="14849" width="19.5703125" style="134" customWidth="1"/>
    <col min="14850" max="14850" width="14" style="134" bestFit="1" customWidth="1"/>
    <col min="14851" max="14851" width="15.140625" style="134" bestFit="1" customWidth="1"/>
    <col min="14852" max="14852" width="10" style="134" bestFit="1" customWidth="1"/>
    <col min="14853" max="15104" width="9.140625" style="134"/>
    <col min="15105" max="15105" width="19.5703125" style="134" customWidth="1"/>
    <col min="15106" max="15106" width="14" style="134" bestFit="1" customWidth="1"/>
    <col min="15107" max="15107" width="15.140625" style="134" bestFit="1" customWidth="1"/>
    <col min="15108" max="15108" width="10" style="134" bestFit="1" customWidth="1"/>
    <col min="15109" max="15360" width="9.140625" style="134"/>
    <col min="15361" max="15361" width="19.5703125" style="134" customWidth="1"/>
    <col min="15362" max="15362" width="14" style="134" bestFit="1" customWidth="1"/>
    <col min="15363" max="15363" width="15.140625" style="134" bestFit="1" customWidth="1"/>
    <col min="15364" max="15364" width="10" style="134" bestFit="1" customWidth="1"/>
    <col min="15365" max="15616" width="9.140625" style="134"/>
    <col min="15617" max="15617" width="19.5703125" style="134" customWidth="1"/>
    <col min="15618" max="15618" width="14" style="134" bestFit="1" customWidth="1"/>
    <col min="15619" max="15619" width="15.140625" style="134" bestFit="1" customWidth="1"/>
    <col min="15620" max="15620" width="10" style="134" bestFit="1" customWidth="1"/>
    <col min="15621" max="15872" width="9.140625" style="134"/>
    <col min="15873" max="15873" width="19.5703125" style="134" customWidth="1"/>
    <col min="15874" max="15874" width="14" style="134" bestFit="1" customWidth="1"/>
    <col min="15875" max="15875" width="15.140625" style="134" bestFit="1" customWidth="1"/>
    <col min="15876" max="15876" width="10" style="134" bestFit="1" customWidth="1"/>
    <col min="15877" max="16128" width="9.140625" style="134"/>
    <col min="16129" max="16129" width="19.5703125" style="134" customWidth="1"/>
    <col min="16130" max="16130" width="14" style="134" bestFit="1" customWidth="1"/>
    <col min="16131" max="16131" width="15.140625" style="134" bestFit="1" customWidth="1"/>
    <col min="16132" max="16132" width="10" style="134" bestFit="1" customWidth="1"/>
    <col min="16133" max="16384" width="9.140625" style="134"/>
  </cols>
  <sheetData>
    <row r="1" spans="1:4" ht="102" x14ac:dyDescent="0.2">
      <c r="A1" s="187" t="s">
        <v>785</v>
      </c>
    </row>
    <row r="3" spans="1:4" ht="18" customHeight="1" x14ac:dyDescent="0.25">
      <c r="A3" s="133" t="s">
        <v>786</v>
      </c>
      <c r="B3" s="10" t="s">
        <v>787</v>
      </c>
    </row>
    <row r="4" spans="1:4" ht="18" customHeight="1" thickBot="1" x14ac:dyDescent="0.25"/>
    <row r="5" spans="1:4" ht="18" customHeight="1" thickBot="1" x14ac:dyDescent="0.25">
      <c r="A5" s="444" t="s">
        <v>607</v>
      </c>
      <c r="B5" s="445"/>
      <c r="C5" s="135" t="s">
        <v>759</v>
      </c>
    </row>
    <row r="6" spans="1:4" ht="18" customHeight="1" x14ac:dyDescent="0.2">
      <c r="A6" s="136" t="s">
        <v>760</v>
      </c>
      <c r="B6" s="137">
        <v>614</v>
      </c>
      <c r="C6" s="138">
        <f>C18</f>
        <v>4</v>
      </c>
    </row>
    <row r="7" spans="1:4" ht="18" customHeight="1" x14ac:dyDescent="0.2">
      <c r="A7" s="136" t="s">
        <v>761</v>
      </c>
      <c r="B7" s="137">
        <v>578</v>
      </c>
      <c r="C7" s="138">
        <f>C18</f>
        <v>4</v>
      </c>
    </row>
    <row r="8" spans="1:4" ht="18" customHeight="1" x14ac:dyDescent="0.2">
      <c r="A8" s="136" t="s">
        <v>609</v>
      </c>
      <c r="B8" s="137">
        <v>298</v>
      </c>
      <c r="C8" s="138">
        <f>2*C18</f>
        <v>8</v>
      </c>
    </row>
    <row r="9" spans="1:4" ht="18" customHeight="1" x14ac:dyDescent="0.2">
      <c r="A9" s="136" t="s">
        <v>762</v>
      </c>
      <c r="B9" s="137">
        <v>269</v>
      </c>
      <c r="C9" s="138">
        <v>1</v>
      </c>
    </row>
    <row r="10" spans="1:4" ht="18" customHeight="1" x14ac:dyDescent="0.2">
      <c r="A10" s="136" t="s">
        <v>763</v>
      </c>
      <c r="B10" s="137">
        <v>262</v>
      </c>
      <c r="C10" s="138">
        <v>1</v>
      </c>
    </row>
    <row r="11" spans="1:4" ht="18" customHeight="1" thickBot="1" x14ac:dyDescent="0.25">
      <c r="A11" s="139" t="s">
        <v>764</v>
      </c>
      <c r="B11" s="140">
        <v>300</v>
      </c>
      <c r="C11" s="141">
        <v>1</v>
      </c>
    </row>
    <row r="12" spans="1:4" ht="18" customHeight="1" thickBot="1" x14ac:dyDescent="0.25">
      <c r="C12" s="142"/>
    </row>
    <row r="13" spans="1:4" ht="18" customHeight="1" thickBot="1" x14ac:dyDescent="0.25">
      <c r="A13" s="446" t="s">
        <v>612</v>
      </c>
      <c r="B13" s="447"/>
      <c r="C13" s="143"/>
      <c r="D13" s="144"/>
    </row>
    <row r="14" spans="1:4" ht="18" customHeight="1" x14ac:dyDescent="0.2">
      <c r="A14" s="145"/>
      <c r="B14" s="146"/>
      <c r="C14" s="147" t="s">
        <v>765</v>
      </c>
      <c r="D14" s="148" t="s">
        <v>766</v>
      </c>
    </row>
    <row r="15" spans="1:4" ht="18" customHeight="1" thickBot="1" x14ac:dyDescent="0.25">
      <c r="A15" s="149" t="s">
        <v>767</v>
      </c>
      <c r="B15" s="150">
        <v>3211</v>
      </c>
      <c r="C15" s="151">
        <v>4.21</v>
      </c>
      <c r="D15" s="152">
        <f>+B15*C15</f>
        <v>13518.31</v>
      </c>
    </row>
    <row r="16" spans="1:4" ht="18" customHeight="1" thickBot="1" x14ac:dyDescent="0.25"/>
    <row r="17" spans="1:3" ht="18" customHeight="1" thickBot="1" x14ac:dyDescent="0.25">
      <c r="A17" s="444" t="s">
        <v>768</v>
      </c>
      <c r="B17" s="445"/>
      <c r="C17" s="448"/>
    </row>
    <row r="18" spans="1:3" s="156" customFormat="1" ht="18" customHeight="1" x14ac:dyDescent="0.2">
      <c r="A18" s="153" t="s">
        <v>769</v>
      </c>
      <c r="B18" s="154"/>
      <c r="C18" s="155">
        <v>4</v>
      </c>
    </row>
    <row r="19" spans="1:3" ht="18" customHeight="1" x14ac:dyDescent="0.2">
      <c r="A19" s="441" t="s">
        <v>770</v>
      </c>
      <c r="B19" s="442"/>
      <c r="C19" s="157">
        <v>4601</v>
      </c>
    </row>
    <row r="20" spans="1:3" ht="18" customHeight="1" x14ac:dyDescent="0.2">
      <c r="A20" s="441" t="s">
        <v>771</v>
      </c>
      <c r="B20" s="442"/>
      <c r="C20" s="157">
        <v>2000</v>
      </c>
    </row>
    <row r="21" spans="1:3" ht="18" customHeight="1" x14ac:dyDescent="0.2">
      <c r="A21" s="441" t="s">
        <v>772</v>
      </c>
      <c r="B21" s="442"/>
      <c r="C21" s="157">
        <v>125</v>
      </c>
    </row>
    <row r="22" spans="1:3" ht="18" customHeight="1" x14ac:dyDescent="0.2">
      <c r="A22" s="441" t="s">
        <v>773</v>
      </c>
      <c r="B22" s="442"/>
      <c r="C22" s="157">
        <v>150</v>
      </c>
    </row>
    <row r="23" spans="1:3" ht="18" customHeight="1" thickBot="1" x14ac:dyDescent="0.25">
      <c r="A23" s="158" t="s">
        <v>774</v>
      </c>
      <c r="B23" s="159"/>
      <c r="C23" s="160">
        <v>1653</v>
      </c>
    </row>
    <row r="24" spans="1:3" ht="18" customHeight="1" x14ac:dyDescent="0.2">
      <c r="A24" s="161"/>
      <c r="B24" s="161"/>
      <c r="C24" s="162"/>
    </row>
    <row r="25" spans="1:3" ht="18" customHeight="1" thickBot="1" x14ac:dyDescent="0.25">
      <c r="A25" s="443"/>
      <c r="B25" s="443"/>
      <c r="C25" s="163"/>
    </row>
    <row r="26" spans="1:3" ht="18" customHeight="1" thickBot="1" x14ac:dyDescent="0.25">
      <c r="A26" s="164"/>
      <c r="B26" s="165"/>
      <c r="C26" s="135" t="s">
        <v>775</v>
      </c>
    </row>
    <row r="27" spans="1:3" ht="18" customHeight="1" x14ac:dyDescent="0.2">
      <c r="A27" s="166" t="s">
        <v>619</v>
      </c>
      <c r="B27" s="167"/>
      <c r="C27" s="168">
        <f>B15*C15</f>
        <v>13518.31</v>
      </c>
    </row>
    <row r="28" spans="1:3" ht="18" customHeight="1" x14ac:dyDescent="0.2">
      <c r="A28" s="136" t="s">
        <v>776</v>
      </c>
      <c r="B28" s="167"/>
      <c r="C28" s="168">
        <v>1981</v>
      </c>
    </row>
    <row r="29" spans="1:3" ht="18" customHeight="1" x14ac:dyDescent="0.2">
      <c r="A29" s="136" t="s">
        <v>777</v>
      </c>
      <c r="B29" s="167"/>
      <c r="C29" s="168"/>
    </row>
    <row r="30" spans="1:3" ht="18" customHeight="1" x14ac:dyDescent="0.2">
      <c r="A30" s="169" t="s">
        <v>760</v>
      </c>
      <c r="C30" s="168">
        <f t="shared" ref="C30:C35" si="0">B6*C6</f>
        <v>2456</v>
      </c>
    </row>
    <row r="31" spans="1:3" ht="18" customHeight="1" x14ac:dyDescent="0.2">
      <c r="A31" s="169" t="s">
        <v>761</v>
      </c>
      <c r="C31" s="168">
        <f t="shared" si="0"/>
        <v>2312</v>
      </c>
    </row>
    <row r="32" spans="1:3" ht="18" customHeight="1" x14ac:dyDescent="0.2">
      <c r="A32" s="169" t="s">
        <v>609</v>
      </c>
      <c r="C32" s="168">
        <f t="shared" si="0"/>
        <v>2384</v>
      </c>
    </row>
    <row r="33" spans="1:3" ht="18" customHeight="1" x14ac:dyDescent="0.2">
      <c r="A33" s="169" t="s">
        <v>762</v>
      </c>
      <c r="C33" s="170">
        <f t="shared" si="0"/>
        <v>269</v>
      </c>
    </row>
    <row r="34" spans="1:3" ht="18" customHeight="1" x14ac:dyDescent="0.2">
      <c r="A34" s="169" t="s">
        <v>763</v>
      </c>
      <c r="C34" s="170">
        <f t="shared" si="0"/>
        <v>262</v>
      </c>
    </row>
    <row r="35" spans="1:3" ht="18" customHeight="1" x14ac:dyDescent="0.2">
      <c r="A35" s="169" t="s">
        <v>778</v>
      </c>
      <c r="C35" s="170">
        <f t="shared" si="0"/>
        <v>300</v>
      </c>
    </row>
    <row r="36" spans="1:3" ht="18" customHeight="1" x14ac:dyDescent="0.2">
      <c r="A36" s="136" t="s">
        <v>779</v>
      </c>
      <c r="B36" s="167"/>
      <c r="C36" s="168">
        <v>5878</v>
      </c>
    </row>
    <row r="37" spans="1:3" ht="18" customHeight="1" x14ac:dyDescent="0.2">
      <c r="A37" s="136" t="s">
        <v>389</v>
      </c>
      <c r="B37" s="167"/>
      <c r="C37" s="168">
        <f>C19</f>
        <v>4601</v>
      </c>
    </row>
    <row r="38" spans="1:3" ht="18" customHeight="1" x14ac:dyDescent="0.2">
      <c r="A38" s="136" t="s">
        <v>780</v>
      </c>
      <c r="B38" s="167"/>
      <c r="C38" s="171">
        <f>C20</f>
        <v>2000</v>
      </c>
    </row>
    <row r="39" spans="1:3" s="188" customFormat="1" ht="18" customHeight="1" x14ac:dyDescent="0.2">
      <c r="A39" s="136" t="s">
        <v>781</v>
      </c>
      <c r="B39" s="167"/>
      <c r="C39" s="171">
        <f>C21+C22+C23</f>
        <v>1928</v>
      </c>
    </row>
    <row r="40" spans="1:3" ht="18" customHeight="1" x14ac:dyDescent="0.2">
      <c r="A40" s="172" t="s">
        <v>788</v>
      </c>
      <c r="B40" s="173"/>
      <c r="C40" s="174">
        <f>SUM(C27:C39)</f>
        <v>37889.31</v>
      </c>
    </row>
    <row r="41" spans="1:3" ht="18" customHeight="1" thickBot="1" x14ac:dyDescent="0.25">
      <c r="A41" s="189" t="s">
        <v>783</v>
      </c>
      <c r="B41" s="190"/>
      <c r="C41" s="191">
        <f>C40*0.3</f>
        <v>11366.793</v>
      </c>
    </row>
    <row r="42" spans="1:3" ht="18" customHeight="1" thickBot="1" x14ac:dyDescent="0.25">
      <c r="A42" s="178" t="s">
        <v>789</v>
      </c>
      <c r="B42" s="179"/>
      <c r="C42" s="180">
        <f>SUM(C40:C41)</f>
        <v>49256.102999999996</v>
      </c>
    </row>
    <row r="43" spans="1:3" x14ac:dyDescent="0.2">
      <c r="A43" s="181"/>
      <c r="B43" s="167"/>
      <c r="C43" s="182"/>
    </row>
    <row r="44" spans="1:3" s="186" customFormat="1" x14ac:dyDescent="0.2">
      <c r="A44" s="183"/>
      <c r="B44" s="184"/>
      <c r="C44" s="185"/>
    </row>
    <row r="45" spans="1:3" s="186" customFormat="1" x14ac:dyDescent="0.2"/>
    <row r="46" spans="1:3" s="186" customFormat="1" x14ac:dyDescent="0.2"/>
    <row r="47" spans="1:3" s="186" customFormat="1" x14ac:dyDescent="0.2"/>
    <row r="48" spans="1:3" s="186" customFormat="1" x14ac:dyDescent="0.2"/>
    <row r="49" s="186" customFormat="1" x14ac:dyDescent="0.2"/>
    <row r="50" s="186" customFormat="1" x14ac:dyDescent="0.2"/>
    <row r="51" s="186" customFormat="1" x14ac:dyDescent="0.2"/>
  </sheetData>
  <mergeCells count="8">
    <mergeCell ref="A22:B22"/>
    <mergeCell ref="A25:B25"/>
    <mergeCell ref="A5:B5"/>
    <mergeCell ref="A13:B13"/>
    <mergeCell ref="A17:C17"/>
    <mergeCell ref="A19:B19"/>
    <mergeCell ref="A20:B20"/>
    <mergeCell ref="A21:B21"/>
  </mergeCells>
  <pageMargins left="0.7" right="0.7" top="0.75" bottom="0.75" header="0.3" footer="0.3"/>
  <pageSetup paperSize="9" orientation="portrait" r:id="rId1"/>
  <headerFooter>
    <oddFooter>&amp;L&amp;8&amp;D&amp;C&amp;8&amp;F&amp;A&amp;R&amp;8&amp;P/&amp;N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zoomScale="85" zoomScaleNormal="85" workbookViewId="0"/>
  </sheetViews>
  <sheetFormatPr defaultRowHeight="15" x14ac:dyDescent="0.25"/>
  <cols>
    <col min="1" max="1" width="33.42578125" customWidth="1"/>
    <col min="2" max="2" width="17.28515625" customWidth="1"/>
    <col min="3" max="3" width="13.7109375" bestFit="1" customWidth="1"/>
    <col min="7" max="7" width="21.42578125" customWidth="1"/>
    <col min="8" max="8" width="6.28515625" customWidth="1"/>
    <col min="9" max="9" width="7.140625" customWidth="1"/>
    <col min="10" max="10" width="12.5703125" customWidth="1"/>
    <col min="11" max="11" width="9.85546875" customWidth="1"/>
    <col min="12" max="12" width="9.7109375" customWidth="1"/>
    <col min="17" max="17" width="11.42578125" customWidth="1"/>
    <col min="18" max="18" width="29.28515625" bestFit="1" customWidth="1"/>
    <col min="257" max="257" width="16.85546875" bestFit="1" customWidth="1"/>
    <col min="258" max="258" width="17.28515625" customWidth="1"/>
    <col min="259" max="259" width="13.7109375" bestFit="1" customWidth="1"/>
    <col min="263" max="263" width="21.42578125" customWidth="1"/>
    <col min="264" max="264" width="6.28515625" customWidth="1"/>
    <col min="265" max="265" width="7.140625" customWidth="1"/>
    <col min="266" max="266" width="12.5703125" customWidth="1"/>
    <col min="267" max="267" width="9.85546875" customWidth="1"/>
    <col min="268" max="268" width="9.7109375" customWidth="1"/>
    <col min="273" max="273" width="11.42578125" customWidth="1"/>
    <col min="274" max="274" width="29.28515625" bestFit="1" customWidth="1"/>
    <col min="513" max="513" width="16.85546875" bestFit="1" customWidth="1"/>
    <col min="514" max="514" width="17.28515625" customWidth="1"/>
    <col min="515" max="515" width="13.7109375" bestFit="1" customWidth="1"/>
    <col min="519" max="519" width="21.42578125" customWidth="1"/>
    <col min="520" max="520" width="6.28515625" customWidth="1"/>
    <col min="521" max="521" width="7.140625" customWidth="1"/>
    <col min="522" max="522" width="12.5703125" customWidth="1"/>
    <col min="523" max="523" width="9.85546875" customWidth="1"/>
    <col min="524" max="524" width="9.7109375" customWidth="1"/>
    <col min="529" max="529" width="11.42578125" customWidth="1"/>
    <col min="530" max="530" width="29.28515625" bestFit="1" customWidth="1"/>
    <col min="769" max="769" width="16.85546875" bestFit="1" customWidth="1"/>
    <col min="770" max="770" width="17.28515625" customWidth="1"/>
    <col min="771" max="771" width="13.7109375" bestFit="1" customWidth="1"/>
    <col min="775" max="775" width="21.42578125" customWidth="1"/>
    <col min="776" max="776" width="6.28515625" customWidth="1"/>
    <col min="777" max="777" width="7.140625" customWidth="1"/>
    <col min="778" max="778" width="12.5703125" customWidth="1"/>
    <col min="779" max="779" width="9.85546875" customWidth="1"/>
    <col min="780" max="780" width="9.7109375" customWidth="1"/>
    <col min="785" max="785" width="11.42578125" customWidth="1"/>
    <col min="786" max="786" width="29.28515625" bestFit="1" customWidth="1"/>
    <col min="1025" max="1025" width="16.85546875" bestFit="1" customWidth="1"/>
    <col min="1026" max="1026" width="17.28515625" customWidth="1"/>
    <col min="1027" max="1027" width="13.7109375" bestFit="1" customWidth="1"/>
    <col min="1031" max="1031" width="21.42578125" customWidth="1"/>
    <col min="1032" max="1032" width="6.28515625" customWidth="1"/>
    <col min="1033" max="1033" width="7.140625" customWidth="1"/>
    <col min="1034" max="1034" width="12.5703125" customWidth="1"/>
    <col min="1035" max="1035" width="9.85546875" customWidth="1"/>
    <col min="1036" max="1036" width="9.7109375" customWidth="1"/>
    <col min="1041" max="1041" width="11.42578125" customWidth="1"/>
    <col min="1042" max="1042" width="29.28515625" bestFit="1" customWidth="1"/>
    <col min="1281" max="1281" width="16.85546875" bestFit="1" customWidth="1"/>
    <col min="1282" max="1282" width="17.28515625" customWidth="1"/>
    <col min="1283" max="1283" width="13.7109375" bestFit="1" customWidth="1"/>
    <col min="1287" max="1287" width="21.42578125" customWidth="1"/>
    <col min="1288" max="1288" width="6.28515625" customWidth="1"/>
    <col min="1289" max="1289" width="7.140625" customWidth="1"/>
    <col min="1290" max="1290" width="12.5703125" customWidth="1"/>
    <col min="1291" max="1291" width="9.85546875" customWidth="1"/>
    <col min="1292" max="1292" width="9.7109375" customWidth="1"/>
    <col min="1297" max="1297" width="11.42578125" customWidth="1"/>
    <col min="1298" max="1298" width="29.28515625" bestFit="1" customWidth="1"/>
    <col min="1537" max="1537" width="16.85546875" bestFit="1" customWidth="1"/>
    <col min="1538" max="1538" width="17.28515625" customWidth="1"/>
    <col min="1539" max="1539" width="13.7109375" bestFit="1" customWidth="1"/>
    <col min="1543" max="1543" width="21.42578125" customWidth="1"/>
    <col min="1544" max="1544" width="6.28515625" customWidth="1"/>
    <col min="1545" max="1545" width="7.140625" customWidth="1"/>
    <col min="1546" max="1546" width="12.5703125" customWidth="1"/>
    <col min="1547" max="1547" width="9.85546875" customWidth="1"/>
    <col min="1548" max="1548" width="9.7109375" customWidth="1"/>
    <col min="1553" max="1553" width="11.42578125" customWidth="1"/>
    <col min="1554" max="1554" width="29.28515625" bestFit="1" customWidth="1"/>
    <col min="1793" max="1793" width="16.85546875" bestFit="1" customWidth="1"/>
    <col min="1794" max="1794" width="17.28515625" customWidth="1"/>
    <col min="1795" max="1795" width="13.7109375" bestFit="1" customWidth="1"/>
    <col min="1799" max="1799" width="21.42578125" customWidth="1"/>
    <col min="1800" max="1800" width="6.28515625" customWidth="1"/>
    <col min="1801" max="1801" width="7.140625" customWidth="1"/>
    <col min="1802" max="1802" width="12.5703125" customWidth="1"/>
    <col min="1803" max="1803" width="9.85546875" customWidth="1"/>
    <col min="1804" max="1804" width="9.7109375" customWidth="1"/>
    <col min="1809" max="1809" width="11.42578125" customWidth="1"/>
    <col min="1810" max="1810" width="29.28515625" bestFit="1" customWidth="1"/>
    <col min="2049" max="2049" width="16.85546875" bestFit="1" customWidth="1"/>
    <col min="2050" max="2050" width="17.28515625" customWidth="1"/>
    <col min="2051" max="2051" width="13.7109375" bestFit="1" customWidth="1"/>
    <col min="2055" max="2055" width="21.42578125" customWidth="1"/>
    <col min="2056" max="2056" width="6.28515625" customWidth="1"/>
    <col min="2057" max="2057" width="7.140625" customWidth="1"/>
    <col min="2058" max="2058" width="12.5703125" customWidth="1"/>
    <col min="2059" max="2059" width="9.85546875" customWidth="1"/>
    <col min="2060" max="2060" width="9.7109375" customWidth="1"/>
    <col min="2065" max="2065" width="11.42578125" customWidth="1"/>
    <col min="2066" max="2066" width="29.28515625" bestFit="1" customWidth="1"/>
    <col min="2305" max="2305" width="16.85546875" bestFit="1" customWidth="1"/>
    <col min="2306" max="2306" width="17.28515625" customWidth="1"/>
    <col min="2307" max="2307" width="13.7109375" bestFit="1" customWidth="1"/>
    <col min="2311" max="2311" width="21.42578125" customWidth="1"/>
    <col min="2312" max="2312" width="6.28515625" customWidth="1"/>
    <col min="2313" max="2313" width="7.140625" customWidth="1"/>
    <col min="2314" max="2314" width="12.5703125" customWidth="1"/>
    <col min="2315" max="2315" width="9.85546875" customWidth="1"/>
    <col min="2316" max="2316" width="9.7109375" customWidth="1"/>
    <col min="2321" max="2321" width="11.42578125" customWidth="1"/>
    <col min="2322" max="2322" width="29.28515625" bestFit="1" customWidth="1"/>
    <col min="2561" max="2561" width="16.85546875" bestFit="1" customWidth="1"/>
    <col min="2562" max="2562" width="17.28515625" customWidth="1"/>
    <col min="2563" max="2563" width="13.7109375" bestFit="1" customWidth="1"/>
    <col min="2567" max="2567" width="21.42578125" customWidth="1"/>
    <col min="2568" max="2568" width="6.28515625" customWidth="1"/>
    <col min="2569" max="2569" width="7.140625" customWidth="1"/>
    <col min="2570" max="2570" width="12.5703125" customWidth="1"/>
    <col min="2571" max="2571" width="9.85546875" customWidth="1"/>
    <col min="2572" max="2572" width="9.7109375" customWidth="1"/>
    <col min="2577" max="2577" width="11.42578125" customWidth="1"/>
    <col min="2578" max="2578" width="29.28515625" bestFit="1" customWidth="1"/>
    <col min="2817" max="2817" width="16.85546875" bestFit="1" customWidth="1"/>
    <col min="2818" max="2818" width="17.28515625" customWidth="1"/>
    <col min="2819" max="2819" width="13.7109375" bestFit="1" customWidth="1"/>
    <col min="2823" max="2823" width="21.42578125" customWidth="1"/>
    <col min="2824" max="2824" width="6.28515625" customWidth="1"/>
    <col min="2825" max="2825" width="7.140625" customWidth="1"/>
    <col min="2826" max="2826" width="12.5703125" customWidth="1"/>
    <col min="2827" max="2827" width="9.85546875" customWidth="1"/>
    <col min="2828" max="2828" width="9.7109375" customWidth="1"/>
    <col min="2833" max="2833" width="11.42578125" customWidth="1"/>
    <col min="2834" max="2834" width="29.28515625" bestFit="1" customWidth="1"/>
    <col min="3073" max="3073" width="16.85546875" bestFit="1" customWidth="1"/>
    <col min="3074" max="3074" width="17.28515625" customWidth="1"/>
    <col min="3075" max="3075" width="13.7109375" bestFit="1" customWidth="1"/>
    <col min="3079" max="3079" width="21.42578125" customWidth="1"/>
    <col min="3080" max="3080" width="6.28515625" customWidth="1"/>
    <col min="3081" max="3081" width="7.140625" customWidth="1"/>
    <col min="3082" max="3082" width="12.5703125" customWidth="1"/>
    <col min="3083" max="3083" width="9.85546875" customWidth="1"/>
    <col min="3084" max="3084" width="9.7109375" customWidth="1"/>
    <col min="3089" max="3089" width="11.42578125" customWidth="1"/>
    <col min="3090" max="3090" width="29.28515625" bestFit="1" customWidth="1"/>
    <col min="3329" max="3329" width="16.85546875" bestFit="1" customWidth="1"/>
    <col min="3330" max="3330" width="17.28515625" customWidth="1"/>
    <col min="3331" max="3331" width="13.7109375" bestFit="1" customWidth="1"/>
    <col min="3335" max="3335" width="21.42578125" customWidth="1"/>
    <col min="3336" max="3336" width="6.28515625" customWidth="1"/>
    <col min="3337" max="3337" width="7.140625" customWidth="1"/>
    <col min="3338" max="3338" width="12.5703125" customWidth="1"/>
    <col min="3339" max="3339" width="9.85546875" customWidth="1"/>
    <col min="3340" max="3340" width="9.7109375" customWidth="1"/>
    <col min="3345" max="3345" width="11.42578125" customWidth="1"/>
    <col min="3346" max="3346" width="29.28515625" bestFit="1" customWidth="1"/>
    <col min="3585" max="3585" width="16.85546875" bestFit="1" customWidth="1"/>
    <col min="3586" max="3586" width="17.28515625" customWidth="1"/>
    <col min="3587" max="3587" width="13.7109375" bestFit="1" customWidth="1"/>
    <col min="3591" max="3591" width="21.42578125" customWidth="1"/>
    <col min="3592" max="3592" width="6.28515625" customWidth="1"/>
    <col min="3593" max="3593" width="7.140625" customWidth="1"/>
    <col min="3594" max="3594" width="12.5703125" customWidth="1"/>
    <col min="3595" max="3595" width="9.85546875" customWidth="1"/>
    <col min="3596" max="3596" width="9.7109375" customWidth="1"/>
    <col min="3601" max="3601" width="11.42578125" customWidth="1"/>
    <col min="3602" max="3602" width="29.28515625" bestFit="1" customWidth="1"/>
    <col min="3841" max="3841" width="16.85546875" bestFit="1" customWidth="1"/>
    <col min="3842" max="3842" width="17.28515625" customWidth="1"/>
    <col min="3843" max="3843" width="13.7109375" bestFit="1" customWidth="1"/>
    <col min="3847" max="3847" width="21.42578125" customWidth="1"/>
    <col min="3848" max="3848" width="6.28515625" customWidth="1"/>
    <col min="3849" max="3849" width="7.140625" customWidth="1"/>
    <col min="3850" max="3850" width="12.5703125" customWidth="1"/>
    <col min="3851" max="3851" width="9.85546875" customWidth="1"/>
    <col min="3852" max="3852" width="9.7109375" customWidth="1"/>
    <col min="3857" max="3857" width="11.42578125" customWidth="1"/>
    <col min="3858" max="3858" width="29.28515625" bestFit="1" customWidth="1"/>
    <col min="4097" max="4097" width="16.85546875" bestFit="1" customWidth="1"/>
    <col min="4098" max="4098" width="17.28515625" customWidth="1"/>
    <col min="4099" max="4099" width="13.7109375" bestFit="1" customWidth="1"/>
    <col min="4103" max="4103" width="21.42578125" customWidth="1"/>
    <col min="4104" max="4104" width="6.28515625" customWidth="1"/>
    <col min="4105" max="4105" width="7.140625" customWidth="1"/>
    <col min="4106" max="4106" width="12.5703125" customWidth="1"/>
    <col min="4107" max="4107" width="9.85546875" customWidth="1"/>
    <col min="4108" max="4108" width="9.7109375" customWidth="1"/>
    <col min="4113" max="4113" width="11.42578125" customWidth="1"/>
    <col min="4114" max="4114" width="29.28515625" bestFit="1" customWidth="1"/>
    <col min="4353" max="4353" width="16.85546875" bestFit="1" customWidth="1"/>
    <col min="4354" max="4354" width="17.28515625" customWidth="1"/>
    <col min="4355" max="4355" width="13.7109375" bestFit="1" customWidth="1"/>
    <col min="4359" max="4359" width="21.42578125" customWidth="1"/>
    <col min="4360" max="4360" width="6.28515625" customWidth="1"/>
    <col min="4361" max="4361" width="7.140625" customWidth="1"/>
    <col min="4362" max="4362" width="12.5703125" customWidth="1"/>
    <col min="4363" max="4363" width="9.85546875" customWidth="1"/>
    <col min="4364" max="4364" width="9.7109375" customWidth="1"/>
    <col min="4369" max="4369" width="11.42578125" customWidth="1"/>
    <col min="4370" max="4370" width="29.28515625" bestFit="1" customWidth="1"/>
    <col min="4609" max="4609" width="16.85546875" bestFit="1" customWidth="1"/>
    <col min="4610" max="4610" width="17.28515625" customWidth="1"/>
    <col min="4611" max="4611" width="13.7109375" bestFit="1" customWidth="1"/>
    <col min="4615" max="4615" width="21.42578125" customWidth="1"/>
    <col min="4616" max="4616" width="6.28515625" customWidth="1"/>
    <col min="4617" max="4617" width="7.140625" customWidth="1"/>
    <col min="4618" max="4618" width="12.5703125" customWidth="1"/>
    <col min="4619" max="4619" width="9.85546875" customWidth="1"/>
    <col min="4620" max="4620" width="9.7109375" customWidth="1"/>
    <col min="4625" max="4625" width="11.42578125" customWidth="1"/>
    <col min="4626" max="4626" width="29.28515625" bestFit="1" customWidth="1"/>
    <col min="4865" max="4865" width="16.85546875" bestFit="1" customWidth="1"/>
    <col min="4866" max="4866" width="17.28515625" customWidth="1"/>
    <col min="4867" max="4867" width="13.7109375" bestFit="1" customWidth="1"/>
    <col min="4871" max="4871" width="21.42578125" customWidth="1"/>
    <col min="4872" max="4872" width="6.28515625" customWidth="1"/>
    <col min="4873" max="4873" width="7.140625" customWidth="1"/>
    <col min="4874" max="4874" width="12.5703125" customWidth="1"/>
    <col min="4875" max="4875" width="9.85546875" customWidth="1"/>
    <col min="4876" max="4876" width="9.7109375" customWidth="1"/>
    <col min="4881" max="4881" width="11.42578125" customWidth="1"/>
    <col min="4882" max="4882" width="29.28515625" bestFit="1" customWidth="1"/>
    <col min="5121" max="5121" width="16.85546875" bestFit="1" customWidth="1"/>
    <col min="5122" max="5122" width="17.28515625" customWidth="1"/>
    <col min="5123" max="5123" width="13.7109375" bestFit="1" customWidth="1"/>
    <col min="5127" max="5127" width="21.42578125" customWidth="1"/>
    <col min="5128" max="5128" width="6.28515625" customWidth="1"/>
    <col min="5129" max="5129" width="7.140625" customWidth="1"/>
    <col min="5130" max="5130" width="12.5703125" customWidth="1"/>
    <col min="5131" max="5131" width="9.85546875" customWidth="1"/>
    <col min="5132" max="5132" width="9.7109375" customWidth="1"/>
    <col min="5137" max="5137" width="11.42578125" customWidth="1"/>
    <col min="5138" max="5138" width="29.28515625" bestFit="1" customWidth="1"/>
    <col min="5377" max="5377" width="16.85546875" bestFit="1" customWidth="1"/>
    <col min="5378" max="5378" width="17.28515625" customWidth="1"/>
    <col min="5379" max="5379" width="13.7109375" bestFit="1" customWidth="1"/>
    <col min="5383" max="5383" width="21.42578125" customWidth="1"/>
    <col min="5384" max="5384" width="6.28515625" customWidth="1"/>
    <col min="5385" max="5385" width="7.140625" customWidth="1"/>
    <col min="5386" max="5386" width="12.5703125" customWidth="1"/>
    <col min="5387" max="5387" width="9.85546875" customWidth="1"/>
    <col min="5388" max="5388" width="9.7109375" customWidth="1"/>
    <col min="5393" max="5393" width="11.42578125" customWidth="1"/>
    <col min="5394" max="5394" width="29.28515625" bestFit="1" customWidth="1"/>
    <col min="5633" max="5633" width="16.85546875" bestFit="1" customWidth="1"/>
    <col min="5634" max="5634" width="17.28515625" customWidth="1"/>
    <col min="5635" max="5635" width="13.7109375" bestFit="1" customWidth="1"/>
    <col min="5639" max="5639" width="21.42578125" customWidth="1"/>
    <col min="5640" max="5640" width="6.28515625" customWidth="1"/>
    <col min="5641" max="5641" width="7.140625" customWidth="1"/>
    <col min="5642" max="5642" width="12.5703125" customWidth="1"/>
    <col min="5643" max="5643" width="9.85546875" customWidth="1"/>
    <col min="5644" max="5644" width="9.7109375" customWidth="1"/>
    <col min="5649" max="5649" width="11.42578125" customWidth="1"/>
    <col min="5650" max="5650" width="29.28515625" bestFit="1" customWidth="1"/>
    <col min="5889" max="5889" width="16.85546875" bestFit="1" customWidth="1"/>
    <col min="5890" max="5890" width="17.28515625" customWidth="1"/>
    <col min="5891" max="5891" width="13.7109375" bestFit="1" customWidth="1"/>
    <col min="5895" max="5895" width="21.42578125" customWidth="1"/>
    <col min="5896" max="5896" width="6.28515625" customWidth="1"/>
    <col min="5897" max="5897" width="7.140625" customWidth="1"/>
    <col min="5898" max="5898" width="12.5703125" customWidth="1"/>
    <col min="5899" max="5899" width="9.85546875" customWidth="1"/>
    <col min="5900" max="5900" width="9.7109375" customWidth="1"/>
    <col min="5905" max="5905" width="11.42578125" customWidth="1"/>
    <col min="5906" max="5906" width="29.28515625" bestFit="1" customWidth="1"/>
    <col min="6145" max="6145" width="16.85546875" bestFit="1" customWidth="1"/>
    <col min="6146" max="6146" width="17.28515625" customWidth="1"/>
    <col min="6147" max="6147" width="13.7109375" bestFit="1" customWidth="1"/>
    <col min="6151" max="6151" width="21.42578125" customWidth="1"/>
    <col min="6152" max="6152" width="6.28515625" customWidth="1"/>
    <col min="6153" max="6153" width="7.140625" customWidth="1"/>
    <col min="6154" max="6154" width="12.5703125" customWidth="1"/>
    <col min="6155" max="6155" width="9.85546875" customWidth="1"/>
    <col min="6156" max="6156" width="9.7109375" customWidth="1"/>
    <col min="6161" max="6161" width="11.42578125" customWidth="1"/>
    <col min="6162" max="6162" width="29.28515625" bestFit="1" customWidth="1"/>
    <col min="6401" max="6401" width="16.85546875" bestFit="1" customWidth="1"/>
    <col min="6402" max="6402" width="17.28515625" customWidth="1"/>
    <col min="6403" max="6403" width="13.7109375" bestFit="1" customWidth="1"/>
    <col min="6407" max="6407" width="21.42578125" customWidth="1"/>
    <col min="6408" max="6408" width="6.28515625" customWidth="1"/>
    <col min="6409" max="6409" width="7.140625" customWidth="1"/>
    <col min="6410" max="6410" width="12.5703125" customWidth="1"/>
    <col min="6411" max="6411" width="9.85546875" customWidth="1"/>
    <col min="6412" max="6412" width="9.7109375" customWidth="1"/>
    <col min="6417" max="6417" width="11.42578125" customWidth="1"/>
    <col min="6418" max="6418" width="29.28515625" bestFit="1" customWidth="1"/>
    <col min="6657" max="6657" width="16.85546875" bestFit="1" customWidth="1"/>
    <col min="6658" max="6658" width="17.28515625" customWidth="1"/>
    <col min="6659" max="6659" width="13.7109375" bestFit="1" customWidth="1"/>
    <col min="6663" max="6663" width="21.42578125" customWidth="1"/>
    <col min="6664" max="6664" width="6.28515625" customWidth="1"/>
    <col min="6665" max="6665" width="7.140625" customWidth="1"/>
    <col min="6666" max="6666" width="12.5703125" customWidth="1"/>
    <col min="6667" max="6667" width="9.85546875" customWidth="1"/>
    <col min="6668" max="6668" width="9.7109375" customWidth="1"/>
    <col min="6673" max="6673" width="11.42578125" customWidth="1"/>
    <col min="6674" max="6674" width="29.28515625" bestFit="1" customWidth="1"/>
    <col min="6913" max="6913" width="16.85546875" bestFit="1" customWidth="1"/>
    <col min="6914" max="6914" width="17.28515625" customWidth="1"/>
    <col min="6915" max="6915" width="13.7109375" bestFit="1" customWidth="1"/>
    <col min="6919" max="6919" width="21.42578125" customWidth="1"/>
    <col min="6920" max="6920" width="6.28515625" customWidth="1"/>
    <col min="6921" max="6921" width="7.140625" customWidth="1"/>
    <col min="6922" max="6922" width="12.5703125" customWidth="1"/>
    <col min="6923" max="6923" width="9.85546875" customWidth="1"/>
    <col min="6924" max="6924" width="9.7109375" customWidth="1"/>
    <col min="6929" max="6929" width="11.42578125" customWidth="1"/>
    <col min="6930" max="6930" width="29.28515625" bestFit="1" customWidth="1"/>
    <col min="7169" max="7169" width="16.85546875" bestFit="1" customWidth="1"/>
    <col min="7170" max="7170" width="17.28515625" customWidth="1"/>
    <col min="7171" max="7171" width="13.7109375" bestFit="1" customWidth="1"/>
    <col min="7175" max="7175" width="21.42578125" customWidth="1"/>
    <col min="7176" max="7176" width="6.28515625" customWidth="1"/>
    <col min="7177" max="7177" width="7.140625" customWidth="1"/>
    <col min="7178" max="7178" width="12.5703125" customWidth="1"/>
    <col min="7179" max="7179" width="9.85546875" customWidth="1"/>
    <col min="7180" max="7180" width="9.7109375" customWidth="1"/>
    <col min="7185" max="7185" width="11.42578125" customWidth="1"/>
    <col min="7186" max="7186" width="29.28515625" bestFit="1" customWidth="1"/>
    <col min="7425" max="7425" width="16.85546875" bestFit="1" customWidth="1"/>
    <col min="7426" max="7426" width="17.28515625" customWidth="1"/>
    <col min="7427" max="7427" width="13.7109375" bestFit="1" customWidth="1"/>
    <col min="7431" max="7431" width="21.42578125" customWidth="1"/>
    <col min="7432" max="7432" width="6.28515625" customWidth="1"/>
    <col min="7433" max="7433" width="7.140625" customWidth="1"/>
    <col min="7434" max="7434" width="12.5703125" customWidth="1"/>
    <col min="7435" max="7435" width="9.85546875" customWidth="1"/>
    <col min="7436" max="7436" width="9.7109375" customWidth="1"/>
    <col min="7441" max="7441" width="11.42578125" customWidth="1"/>
    <col min="7442" max="7442" width="29.28515625" bestFit="1" customWidth="1"/>
    <col min="7681" max="7681" width="16.85546875" bestFit="1" customWidth="1"/>
    <col min="7682" max="7682" width="17.28515625" customWidth="1"/>
    <col min="7683" max="7683" width="13.7109375" bestFit="1" customWidth="1"/>
    <col min="7687" max="7687" width="21.42578125" customWidth="1"/>
    <col min="7688" max="7688" width="6.28515625" customWidth="1"/>
    <col min="7689" max="7689" width="7.140625" customWidth="1"/>
    <col min="7690" max="7690" width="12.5703125" customWidth="1"/>
    <col min="7691" max="7691" width="9.85546875" customWidth="1"/>
    <col min="7692" max="7692" width="9.7109375" customWidth="1"/>
    <col min="7697" max="7697" width="11.42578125" customWidth="1"/>
    <col min="7698" max="7698" width="29.28515625" bestFit="1" customWidth="1"/>
    <col min="7937" max="7937" width="16.85546875" bestFit="1" customWidth="1"/>
    <col min="7938" max="7938" width="17.28515625" customWidth="1"/>
    <col min="7939" max="7939" width="13.7109375" bestFit="1" customWidth="1"/>
    <col min="7943" max="7943" width="21.42578125" customWidth="1"/>
    <col min="7944" max="7944" width="6.28515625" customWidth="1"/>
    <col min="7945" max="7945" width="7.140625" customWidth="1"/>
    <col min="7946" max="7946" width="12.5703125" customWidth="1"/>
    <col min="7947" max="7947" width="9.85546875" customWidth="1"/>
    <col min="7948" max="7948" width="9.7109375" customWidth="1"/>
    <col min="7953" max="7953" width="11.42578125" customWidth="1"/>
    <col min="7954" max="7954" width="29.28515625" bestFit="1" customWidth="1"/>
    <col min="8193" max="8193" width="16.85546875" bestFit="1" customWidth="1"/>
    <col min="8194" max="8194" width="17.28515625" customWidth="1"/>
    <col min="8195" max="8195" width="13.7109375" bestFit="1" customWidth="1"/>
    <col min="8199" max="8199" width="21.42578125" customWidth="1"/>
    <col min="8200" max="8200" width="6.28515625" customWidth="1"/>
    <col min="8201" max="8201" width="7.140625" customWidth="1"/>
    <col min="8202" max="8202" width="12.5703125" customWidth="1"/>
    <col min="8203" max="8203" width="9.85546875" customWidth="1"/>
    <col min="8204" max="8204" width="9.7109375" customWidth="1"/>
    <col min="8209" max="8209" width="11.42578125" customWidth="1"/>
    <col min="8210" max="8210" width="29.28515625" bestFit="1" customWidth="1"/>
    <col min="8449" max="8449" width="16.85546875" bestFit="1" customWidth="1"/>
    <col min="8450" max="8450" width="17.28515625" customWidth="1"/>
    <col min="8451" max="8451" width="13.7109375" bestFit="1" customWidth="1"/>
    <col min="8455" max="8455" width="21.42578125" customWidth="1"/>
    <col min="8456" max="8456" width="6.28515625" customWidth="1"/>
    <col min="8457" max="8457" width="7.140625" customWidth="1"/>
    <col min="8458" max="8458" width="12.5703125" customWidth="1"/>
    <col min="8459" max="8459" width="9.85546875" customWidth="1"/>
    <col min="8460" max="8460" width="9.7109375" customWidth="1"/>
    <col min="8465" max="8465" width="11.42578125" customWidth="1"/>
    <col min="8466" max="8466" width="29.28515625" bestFit="1" customWidth="1"/>
    <col min="8705" max="8705" width="16.85546875" bestFit="1" customWidth="1"/>
    <col min="8706" max="8706" width="17.28515625" customWidth="1"/>
    <col min="8707" max="8707" width="13.7109375" bestFit="1" customWidth="1"/>
    <col min="8711" max="8711" width="21.42578125" customWidth="1"/>
    <col min="8712" max="8712" width="6.28515625" customWidth="1"/>
    <col min="8713" max="8713" width="7.140625" customWidth="1"/>
    <col min="8714" max="8714" width="12.5703125" customWidth="1"/>
    <col min="8715" max="8715" width="9.85546875" customWidth="1"/>
    <col min="8716" max="8716" width="9.7109375" customWidth="1"/>
    <col min="8721" max="8721" width="11.42578125" customWidth="1"/>
    <col min="8722" max="8722" width="29.28515625" bestFit="1" customWidth="1"/>
    <col min="8961" max="8961" width="16.85546875" bestFit="1" customWidth="1"/>
    <col min="8962" max="8962" width="17.28515625" customWidth="1"/>
    <col min="8963" max="8963" width="13.7109375" bestFit="1" customWidth="1"/>
    <col min="8967" max="8967" width="21.42578125" customWidth="1"/>
    <col min="8968" max="8968" width="6.28515625" customWidth="1"/>
    <col min="8969" max="8969" width="7.140625" customWidth="1"/>
    <col min="8970" max="8970" width="12.5703125" customWidth="1"/>
    <col min="8971" max="8971" width="9.85546875" customWidth="1"/>
    <col min="8972" max="8972" width="9.7109375" customWidth="1"/>
    <col min="8977" max="8977" width="11.42578125" customWidth="1"/>
    <col min="8978" max="8978" width="29.28515625" bestFit="1" customWidth="1"/>
    <col min="9217" max="9217" width="16.85546875" bestFit="1" customWidth="1"/>
    <col min="9218" max="9218" width="17.28515625" customWidth="1"/>
    <col min="9219" max="9219" width="13.7109375" bestFit="1" customWidth="1"/>
    <col min="9223" max="9223" width="21.42578125" customWidth="1"/>
    <col min="9224" max="9224" width="6.28515625" customWidth="1"/>
    <col min="9225" max="9225" width="7.140625" customWidth="1"/>
    <col min="9226" max="9226" width="12.5703125" customWidth="1"/>
    <col min="9227" max="9227" width="9.85546875" customWidth="1"/>
    <col min="9228" max="9228" width="9.7109375" customWidth="1"/>
    <col min="9233" max="9233" width="11.42578125" customWidth="1"/>
    <col min="9234" max="9234" width="29.28515625" bestFit="1" customWidth="1"/>
    <col min="9473" max="9473" width="16.85546875" bestFit="1" customWidth="1"/>
    <col min="9474" max="9474" width="17.28515625" customWidth="1"/>
    <col min="9475" max="9475" width="13.7109375" bestFit="1" customWidth="1"/>
    <col min="9479" max="9479" width="21.42578125" customWidth="1"/>
    <col min="9480" max="9480" width="6.28515625" customWidth="1"/>
    <col min="9481" max="9481" width="7.140625" customWidth="1"/>
    <col min="9482" max="9482" width="12.5703125" customWidth="1"/>
    <col min="9483" max="9483" width="9.85546875" customWidth="1"/>
    <col min="9484" max="9484" width="9.7109375" customWidth="1"/>
    <col min="9489" max="9489" width="11.42578125" customWidth="1"/>
    <col min="9490" max="9490" width="29.28515625" bestFit="1" customWidth="1"/>
    <col min="9729" max="9729" width="16.85546875" bestFit="1" customWidth="1"/>
    <col min="9730" max="9730" width="17.28515625" customWidth="1"/>
    <col min="9731" max="9731" width="13.7109375" bestFit="1" customWidth="1"/>
    <col min="9735" max="9735" width="21.42578125" customWidth="1"/>
    <col min="9736" max="9736" width="6.28515625" customWidth="1"/>
    <col min="9737" max="9737" width="7.140625" customWidth="1"/>
    <col min="9738" max="9738" width="12.5703125" customWidth="1"/>
    <col min="9739" max="9739" width="9.85546875" customWidth="1"/>
    <col min="9740" max="9740" width="9.7109375" customWidth="1"/>
    <col min="9745" max="9745" width="11.42578125" customWidth="1"/>
    <col min="9746" max="9746" width="29.28515625" bestFit="1" customWidth="1"/>
    <col min="9985" max="9985" width="16.85546875" bestFit="1" customWidth="1"/>
    <col min="9986" max="9986" width="17.28515625" customWidth="1"/>
    <col min="9987" max="9987" width="13.7109375" bestFit="1" customWidth="1"/>
    <col min="9991" max="9991" width="21.42578125" customWidth="1"/>
    <col min="9992" max="9992" width="6.28515625" customWidth="1"/>
    <col min="9993" max="9993" width="7.140625" customWidth="1"/>
    <col min="9994" max="9994" width="12.5703125" customWidth="1"/>
    <col min="9995" max="9995" width="9.85546875" customWidth="1"/>
    <col min="9996" max="9996" width="9.7109375" customWidth="1"/>
    <col min="10001" max="10001" width="11.42578125" customWidth="1"/>
    <col min="10002" max="10002" width="29.28515625" bestFit="1" customWidth="1"/>
    <col min="10241" max="10241" width="16.85546875" bestFit="1" customWidth="1"/>
    <col min="10242" max="10242" width="17.28515625" customWidth="1"/>
    <col min="10243" max="10243" width="13.7109375" bestFit="1" customWidth="1"/>
    <col min="10247" max="10247" width="21.42578125" customWidth="1"/>
    <col min="10248" max="10248" width="6.28515625" customWidth="1"/>
    <col min="10249" max="10249" width="7.140625" customWidth="1"/>
    <col min="10250" max="10250" width="12.5703125" customWidth="1"/>
    <col min="10251" max="10251" width="9.85546875" customWidth="1"/>
    <col min="10252" max="10252" width="9.7109375" customWidth="1"/>
    <col min="10257" max="10257" width="11.42578125" customWidth="1"/>
    <col min="10258" max="10258" width="29.28515625" bestFit="1" customWidth="1"/>
    <col min="10497" max="10497" width="16.85546875" bestFit="1" customWidth="1"/>
    <col min="10498" max="10498" width="17.28515625" customWidth="1"/>
    <col min="10499" max="10499" width="13.7109375" bestFit="1" customWidth="1"/>
    <col min="10503" max="10503" width="21.42578125" customWidth="1"/>
    <col min="10504" max="10504" width="6.28515625" customWidth="1"/>
    <col min="10505" max="10505" width="7.140625" customWidth="1"/>
    <col min="10506" max="10506" width="12.5703125" customWidth="1"/>
    <col min="10507" max="10507" width="9.85546875" customWidth="1"/>
    <col min="10508" max="10508" width="9.7109375" customWidth="1"/>
    <col min="10513" max="10513" width="11.42578125" customWidth="1"/>
    <col min="10514" max="10514" width="29.28515625" bestFit="1" customWidth="1"/>
    <col min="10753" max="10753" width="16.85546875" bestFit="1" customWidth="1"/>
    <col min="10754" max="10754" width="17.28515625" customWidth="1"/>
    <col min="10755" max="10755" width="13.7109375" bestFit="1" customWidth="1"/>
    <col min="10759" max="10759" width="21.42578125" customWidth="1"/>
    <col min="10760" max="10760" width="6.28515625" customWidth="1"/>
    <col min="10761" max="10761" width="7.140625" customWidth="1"/>
    <col min="10762" max="10762" width="12.5703125" customWidth="1"/>
    <col min="10763" max="10763" width="9.85546875" customWidth="1"/>
    <col min="10764" max="10764" width="9.7109375" customWidth="1"/>
    <col min="10769" max="10769" width="11.42578125" customWidth="1"/>
    <col min="10770" max="10770" width="29.28515625" bestFit="1" customWidth="1"/>
    <col min="11009" max="11009" width="16.85546875" bestFit="1" customWidth="1"/>
    <col min="11010" max="11010" width="17.28515625" customWidth="1"/>
    <col min="11011" max="11011" width="13.7109375" bestFit="1" customWidth="1"/>
    <col min="11015" max="11015" width="21.42578125" customWidth="1"/>
    <col min="11016" max="11016" width="6.28515625" customWidth="1"/>
    <col min="11017" max="11017" width="7.140625" customWidth="1"/>
    <col min="11018" max="11018" width="12.5703125" customWidth="1"/>
    <col min="11019" max="11019" width="9.85546875" customWidth="1"/>
    <col min="11020" max="11020" width="9.7109375" customWidth="1"/>
    <col min="11025" max="11025" width="11.42578125" customWidth="1"/>
    <col min="11026" max="11026" width="29.28515625" bestFit="1" customWidth="1"/>
    <col min="11265" max="11265" width="16.85546875" bestFit="1" customWidth="1"/>
    <col min="11266" max="11266" width="17.28515625" customWidth="1"/>
    <col min="11267" max="11267" width="13.7109375" bestFit="1" customWidth="1"/>
    <col min="11271" max="11271" width="21.42578125" customWidth="1"/>
    <col min="11272" max="11272" width="6.28515625" customWidth="1"/>
    <col min="11273" max="11273" width="7.140625" customWidth="1"/>
    <col min="11274" max="11274" width="12.5703125" customWidth="1"/>
    <col min="11275" max="11275" width="9.85546875" customWidth="1"/>
    <col min="11276" max="11276" width="9.7109375" customWidth="1"/>
    <col min="11281" max="11281" width="11.42578125" customWidth="1"/>
    <col min="11282" max="11282" width="29.28515625" bestFit="1" customWidth="1"/>
    <col min="11521" max="11521" width="16.85546875" bestFit="1" customWidth="1"/>
    <col min="11522" max="11522" width="17.28515625" customWidth="1"/>
    <col min="11523" max="11523" width="13.7109375" bestFit="1" customWidth="1"/>
    <col min="11527" max="11527" width="21.42578125" customWidth="1"/>
    <col min="11528" max="11528" width="6.28515625" customWidth="1"/>
    <col min="11529" max="11529" width="7.140625" customWidth="1"/>
    <col min="11530" max="11530" width="12.5703125" customWidth="1"/>
    <col min="11531" max="11531" width="9.85546875" customWidth="1"/>
    <col min="11532" max="11532" width="9.7109375" customWidth="1"/>
    <col min="11537" max="11537" width="11.42578125" customWidth="1"/>
    <col min="11538" max="11538" width="29.28515625" bestFit="1" customWidth="1"/>
    <col min="11777" max="11777" width="16.85546875" bestFit="1" customWidth="1"/>
    <col min="11778" max="11778" width="17.28515625" customWidth="1"/>
    <col min="11779" max="11779" width="13.7109375" bestFit="1" customWidth="1"/>
    <col min="11783" max="11783" width="21.42578125" customWidth="1"/>
    <col min="11784" max="11784" width="6.28515625" customWidth="1"/>
    <col min="11785" max="11785" width="7.140625" customWidth="1"/>
    <col min="11786" max="11786" width="12.5703125" customWidth="1"/>
    <col min="11787" max="11787" width="9.85546875" customWidth="1"/>
    <col min="11788" max="11788" width="9.7109375" customWidth="1"/>
    <col min="11793" max="11793" width="11.42578125" customWidth="1"/>
    <col min="11794" max="11794" width="29.28515625" bestFit="1" customWidth="1"/>
    <col min="12033" max="12033" width="16.85546875" bestFit="1" customWidth="1"/>
    <col min="12034" max="12034" width="17.28515625" customWidth="1"/>
    <col min="12035" max="12035" width="13.7109375" bestFit="1" customWidth="1"/>
    <col min="12039" max="12039" width="21.42578125" customWidth="1"/>
    <col min="12040" max="12040" width="6.28515625" customWidth="1"/>
    <col min="12041" max="12041" width="7.140625" customWidth="1"/>
    <col min="12042" max="12042" width="12.5703125" customWidth="1"/>
    <col min="12043" max="12043" width="9.85546875" customWidth="1"/>
    <col min="12044" max="12044" width="9.7109375" customWidth="1"/>
    <col min="12049" max="12049" width="11.42578125" customWidth="1"/>
    <col min="12050" max="12050" width="29.28515625" bestFit="1" customWidth="1"/>
    <col min="12289" max="12289" width="16.85546875" bestFit="1" customWidth="1"/>
    <col min="12290" max="12290" width="17.28515625" customWidth="1"/>
    <col min="12291" max="12291" width="13.7109375" bestFit="1" customWidth="1"/>
    <col min="12295" max="12295" width="21.42578125" customWidth="1"/>
    <col min="12296" max="12296" width="6.28515625" customWidth="1"/>
    <col min="12297" max="12297" width="7.140625" customWidth="1"/>
    <col min="12298" max="12298" width="12.5703125" customWidth="1"/>
    <col min="12299" max="12299" width="9.85546875" customWidth="1"/>
    <col min="12300" max="12300" width="9.7109375" customWidth="1"/>
    <col min="12305" max="12305" width="11.42578125" customWidth="1"/>
    <col min="12306" max="12306" width="29.28515625" bestFit="1" customWidth="1"/>
    <col min="12545" max="12545" width="16.85546875" bestFit="1" customWidth="1"/>
    <col min="12546" max="12546" width="17.28515625" customWidth="1"/>
    <col min="12547" max="12547" width="13.7109375" bestFit="1" customWidth="1"/>
    <col min="12551" max="12551" width="21.42578125" customWidth="1"/>
    <col min="12552" max="12552" width="6.28515625" customWidth="1"/>
    <col min="12553" max="12553" width="7.140625" customWidth="1"/>
    <col min="12554" max="12554" width="12.5703125" customWidth="1"/>
    <col min="12555" max="12555" width="9.85546875" customWidth="1"/>
    <col min="12556" max="12556" width="9.7109375" customWidth="1"/>
    <col min="12561" max="12561" width="11.42578125" customWidth="1"/>
    <col min="12562" max="12562" width="29.28515625" bestFit="1" customWidth="1"/>
    <col min="12801" max="12801" width="16.85546875" bestFit="1" customWidth="1"/>
    <col min="12802" max="12802" width="17.28515625" customWidth="1"/>
    <col min="12803" max="12803" width="13.7109375" bestFit="1" customWidth="1"/>
    <col min="12807" max="12807" width="21.42578125" customWidth="1"/>
    <col min="12808" max="12808" width="6.28515625" customWidth="1"/>
    <col min="12809" max="12809" width="7.140625" customWidth="1"/>
    <col min="12810" max="12810" width="12.5703125" customWidth="1"/>
    <col min="12811" max="12811" width="9.85546875" customWidth="1"/>
    <col min="12812" max="12812" width="9.7109375" customWidth="1"/>
    <col min="12817" max="12817" width="11.42578125" customWidth="1"/>
    <col min="12818" max="12818" width="29.28515625" bestFit="1" customWidth="1"/>
    <col min="13057" max="13057" width="16.85546875" bestFit="1" customWidth="1"/>
    <col min="13058" max="13058" width="17.28515625" customWidth="1"/>
    <col min="13059" max="13059" width="13.7109375" bestFit="1" customWidth="1"/>
    <col min="13063" max="13063" width="21.42578125" customWidth="1"/>
    <col min="13064" max="13064" width="6.28515625" customWidth="1"/>
    <col min="13065" max="13065" width="7.140625" customWidth="1"/>
    <col min="13066" max="13066" width="12.5703125" customWidth="1"/>
    <col min="13067" max="13067" width="9.85546875" customWidth="1"/>
    <col min="13068" max="13068" width="9.7109375" customWidth="1"/>
    <col min="13073" max="13073" width="11.42578125" customWidth="1"/>
    <col min="13074" max="13074" width="29.28515625" bestFit="1" customWidth="1"/>
    <col min="13313" max="13313" width="16.85546875" bestFit="1" customWidth="1"/>
    <col min="13314" max="13314" width="17.28515625" customWidth="1"/>
    <col min="13315" max="13315" width="13.7109375" bestFit="1" customWidth="1"/>
    <col min="13319" max="13319" width="21.42578125" customWidth="1"/>
    <col min="13320" max="13320" width="6.28515625" customWidth="1"/>
    <col min="13321" max="13321" width="7.140625" customWidth="1"/>
    <col min="13322" max="13322" width="12.5703125" customWidth="1"/>
    <col min="13323" max="13323" width="9.85546875" customWidth="1"/>
    <col min="13324" max="13324" width="9.7109375" customWidth="1"/>
    <col min="13329" max="13329" width="11.42578125" customWidth="1"/>
    <col min="13330" max="13330" width="29.28515625" bestFit="1" customWidth="1"/>
    <col min="13569" max="13569" width="16.85546875" bestFit="1" customWidth="1"/>
    <col min="13570" max="13570" width="17.28515625" customWidth="1"/>
    <col min="13571" max="13571" width="13.7109375" bestFit="1" customWidth="1"/>
    <col min="13575" max="13575" width="21.42578125" customWidth="1"/>
    <col min="13576" max="13576" width="6.28515625" customWidth="1"/>
    <col min="13577" max="13577" width="7.140625" customWidth="1"/>
    <col min="13578" max="13578" width="12.5703125" customWidth="1"/>
    <col min="13579" max="13579" width="9.85546875" customWidth="1"/>
    <col min="13580" max="13580" width="9.7109375" customWidth="1"/>
    <col min="13585" max="13585" width="11.42578125" customWidth="1"/>
    <col min="13586" max="13586" width="29.28515625" bestFit="1" customWidth="1"/>
    <col min="13825" max="13825" width="16.85546875" bestFit="1" customWidth="1"/>
    <col min="13826" max="13826" width="17.28515625" customWidth="1"/>
    <col min="13827" max="13827" width="13.7109375" bestFit="1" customWidth="1"/>
    <col min="13831" max="13831" width="21.42578125" customWidth="1"/>
    <col min="13832" max="13832" width="6.28515625" customWidth="1"/>
    <col min="13833" max="13833" width="7.140625" customWidth="1"/>
    <col min="13834" max="13834" width="12.5703125" customWidth="1"/>
    <col min="13835" max="13835" width="9.85546875" customWidth="1"/>
    <col min="13836" max="13836" width="9.7109375" customWidth="1"/>
    <col min="13841" max="13841" width="11.42578125" customWidth="1"/>
    <col min="13842" max="13842" width="29.28515625" bestFit="1" customWidth="1"/>
    <col min="14081" max="14081" width="16.85546875" bestFit="1" customWidth="1"/>
    <col min="14082" max="14082" width="17.28515625" customWidth="1"/>
    <col min="14083" max="14083" width="13.7109375" bestFit="1" customWidth="1"/>
    <col min="14087" max="14087" width="21.42578125" customWidth="1"/>
    <col min="14088" max="14088" width="6.28515625" customWidth="1"/>
    <col min="14089" max="14089" width="7.140625" customWidth="1"/>
    <col min="14090" max="14090" width="12.5703125" customWidth="1"/>
    <col min="14091" max="14091" width="9.85546875" customWidth="1"/>
    <col min="14092" max="14092" width="9.7109375" customWidth="1"/>
    <col min="14097" max="14097" width="11.42578125" customWidth="1"/>
    <col min="14098" max="14098" width="29.28515625" bestFit="1" customWidth="1"/>
    <col min="14337" max="14337" width="16.85546875" bestFit="1" customWidth="1"/>
    <col min="14338" max="14338" width="17.28515625" customWidth="1"/>
    <col min="14339" max="14339" width="13.7109375" bestFit="1" customWidth="1"/>
    <col min="14343" max="14343" width="21.42578125" customWidth="1"/>
    <col min="14344" max="14344" width="6.28515625" customWidth="1"/>
    <col min="14345" max="14345" width="7.140625" customWidth="1"/>
    <col min="14346" max="14346" width="12.5703125" customWidth="1"/>
    <col min="14347" max="14347" width="9.85546875" customWidth="1"/>
    <col min="14348" max="14348" width="9.7109375" customWidth="1"/>
    <col min="14353" max="14353" width="11.42578125" customWidth="1"/>
    <col min="14354" max="14354" width="29.28515625" bestFit="1" customWidth="1"/>
    <col min="14593" max="14593" width="16.85546875" bestFit="1" customWidth="1"/>
    <col min="14594" max="14594" width="17.28515625" customWidth="1"/>
    <col min="14595" max="14595" width="13.7109375" bestFit="1" customWidth="1"/>
    <col min="14599" max="14599" width="21.42578125" customWidth="1"/>
    <col min="14600" max="14600" width="6.28515625" customWidth="1"/>
    <col min="14601" max="14601" width="7.140625" customWidth="1"/>
    <col min="14602" max="14602" width="12.5703125" customWidth="1"/>
    <col min="14603" max="14603" width="9.85546875" customWidth="1"/>
    <col min="14604" max="14604" width="9.7109375" customWidth="1"/>
    <col min="14609" max="14609" width="11.42578125" customWidth="1"/>
    <col min="14610" max="14610" width="29.28515625" bestFit="1" customWidth="1"/>
    <col min="14849" max="14849" width="16.85546875" bestFit="1" customWidth="1"/>
    <col min="14850" max="14850" width="17.28515625" customWidth="1"/>
    <col min="14851" max="14851" width="13.7109375" bestFit="1" customWidth="1"/>
    <col min="14855" max="14855" width="21.42578125" customWidth="1"/>
    <col min="14856" max="14856" width="6.28515625" customWidth="1"/>
    <col min="14857" max="14857" width="7.140625" customWidth="1"/>
    <col min="14858" max="14858" width="12.5703125" customWidth="1"/>
    <col min="14859" max="14859" width="9.85546875" customWidth="1"/>
    <col min="14860" max="14860" width="9.7109375" customWidth="1"/>
    <col min="14865" max="14865" width="11.42578125" customWidth="1"/>
    <col min="14866" max="14866" width="29.28515625" bestFit="1" customWidth="1"/>
    <col min="15105" max="15105" width="16.85546875" bestFit="1" customWidth="1"/>
    <col min="15106" max="15106" width="17.28515625" customWidth="1"/>
    <col min="15107" max="15107" width="13.7109375" bestFit="1" customWidth="1"/>
    <col min="15111" max="15111" width="21.42578125" customWidth="1"/>
    <col min="15112" max="15112" width="6.28515625" customWidth="1"/>
    <col min="15113" max="15113" width="7.140625" customWidth="1"/>
    <col min="15114" max="15114" width="12.5703125" customWidth="1"/>
    <col min="15115" max="15115" width="9.85546875" customWidth="1"/>
    <col min="15116" max="15116" width="9.7109375" customWidth="1"/>
    <col min="15121" max="15121" width="11.42578125" customWidth="1"/>
    <col min="15122" max="15122" width="29.28515625" bestFit="1" customWidth="1"/>
    <col min="15361" max="15361" width="16.85546875" bestFit="1" customWidth="1"/>
    <col min="15362" max="15362" width="17.28515625" customWidth="1"/>
    <col min="15363" max="15363" width="13.7109375" bestFit="1" customWidth="1"/>
    <col min="15367" max="15367" width="21.42578125" customWidth="1"/>
    <col min="15368" max="15368" width="6.28515625" customWidth="1"/>
    <col min="15369" max="15369" width="7.140625" customWidth="1"/>
    <col min="15370" max="15370" width="12.5703125" customWidth="1"/>
    <col min="15371" max="15371" width="9.85546875" customWidth="1"/>
    <col min="15372" max="15372" width="9.7109375" customWidth="1"/>
    <col min="15377" max="15377" width="11.42578125" customWidth="1"/>
    <col min="15378" max="15378" width="29.28515625" bestFit="1" customWidth="1"/>
    <col min="15617" max="15617" width="16.85546875" bestFit="1" customWidth="1"/>
    <col min="15618" max="15618" width="17.28515625" customWidth="1"/>
    <col min="15619" max="15619" width="13.7109375" bestFit="1" customWidth="1"/>
    <col min="15623" max="15623" width="21.42578125" customWidth="1"/>
    <col min="15624" max="15624" width="6.28515625" customWidth="1"/>
    <col min="15625" max="15625" width="7.140625" customWidth="1"/>
    <col min="15626" max="15626" width="12.5703125" customWidth="1"/>
    <col min="15627" max="15627" width="9.85546875" customWidth="1"/>
    <col min="15628" max="15628" width="9.7109375" customWidth="1"/>
    <col min="15633" max="15633" width="11.42578125" customWidth="1"/>
    <col min="15634" max="15634" width="29.28515625" bestFit="1" customWidth="1"/>
    <col min="15873" max="15873" width="16.85546875" bestFit="1" customWidth="1"/>
    <col min="15874" max="15874" width="17.28515625" customWidth="1"/>
    <col min="15875" max="15875" width="13.7109375" bestFit="1" customWidth="1"/>
    <col min="15879" max="15879" width="21.42578125" customWidth="1"/>
    <col min="15880" max="15880" width="6.28515625" customWidth="1"/>
    <col min="15881" max="15881" width="7.140625" customWidth="1"/>
    <col min="15882" max="15882" width="12.5703125" customWidth="1"/>
    <col min="15883" max="15883" width="9.85546875" customWidth="1"/>
    <col min="15884" max="15884" width="9.7109375" customWidth="1"/>
    <col min="15889" max="15889" width="11.42578125" customWidth="1"/>
    <col min="15890" max="15890" width="29.28515625" bestFit="1" customWidth="1"/>
    <col min="16129" max="16129" width="16.85546875" bestFit="1" customWidth="1"/>
    <col min="16130" max="16130" width="17.28515625" customWidth="1"/>
    <col min="16131" max="16131" width="13.7109375" bestFit="1" customWidth="1"/>
    <col min="16135" max="16135" width="21.42578125" customWidth="1"/>
    <col min="16136" max="16136" width="6.28515625" customWidth="1"/>
    <col min="16137" max="16137" width="7.140625" customWidth="1"/>
    <col min="16138" max="16138" width="12.5703125" customWidth="1"/>
    <col min="16139" max="16139" width="9.85546875" customWidth="1"/>
    <col min="16140" max="16140" width="9.7109375" customWidth="1"/>
    <col min="16145" max="16145" width="11.42578125" customWidth="1"/>
    <col min="16146" max="16146" width="29.28515625" bestFit="1" customWidth="1"/>
  </cols>
  <sheetData>
    <row r="1" spans="1:21" ht="120" x14ac:dyDescent="0.25">
      <c r="A1" s="223" t="s">
        <v>873</v>
      </c>
    </row>
    <row r="3" spans="1:21" x14ac:dyDescent="0.25">
      <c r="A3" s="61" t="s">
        <v>606</v>
      </c>
    </row>
    <row r="5" spans="1:21" ht="15.75" thickBot="1" x14ac:dyDescent="0.3"/>
    <row r="6" spans="1:21" ht="15.75" thickBot="1" x14ac:dyDescent="0.3">
      <c r="A6" s="429" t="s">
        <v>607</v>
      </c>
      <c r="B6" s="430"/>
    </row>
    <row r="7" spans="1:21" ht="15.75" thickBot="1" x14ac:dyDescent="0.3">
      <c r="A7" s="62" t="s">
        <v>621</v>
      </c>
      <c r="B7" s="64"/>
    </row>
    <row r="8" spans="1:21" ht="15.75" thickBot="1" x14ac:dyDescent="0.3">
      <c r="A8" s="62" t="s">
        <v>609</v>
      </c>
      <c r="B8" s="64"/>
    </row>
    <row r="9" spans="1:21" ht="15.75" thickBot="1" x14ac:dyDescent="0.3">
      <c r="A9" s="62" t="s">
        <v>622</v>
      </c>
      <c r="B9" s="64"/>
    </row>
    <row r="10" spans="1:21" ht="15.75" thickBot="1" x14ac:dyDescent="0.3">
      <c r="A10" s="62" t="s">
        <v>623</v>
      </c>
      <c r="B10" s="64"/>
    </row>
    <row r="11" spans="1:21" ht="15.75" thickBot="1" x14ac:dyDescent="0.3">
      <c r="A11" s="62" t="s">
        <v>624</v>
      </c>
      <c r="B11" s="64"/>
    </row>
    <row r="12" spans="1:21" ht="15.75" thickBot="1" x14ac:dyDescent="0.3"/>
    <row r="13" spans="1:21" ht="25.5" customHeight="1" thickBot="1" x14ac:dyDescent="0.3">
      <c r="A13" s="431" t="s">
        <v>612</v>
      </c>
      <c r="B13" s="432"/>
      <c r="M13" t="s">
        <v>814</v>
      </c>
    </row>
    <row r="14" spans="1:21" ht="15.75" thickBot="1" x14ac:dyDescent="0.3">
      <c r="A14" s="62" t="s">
        <v>613</v>
      </c>
      <c r="B14" s="65"/>
      <c r="G14" s="192" t="s">
        <v>815</v>
      </c>
      <c r="H14" s="193"/>
      <c r="I14" s="193" t="s">
        <v>816</v>
      </c>
      <c r="J14" s="194">
        <v>22036</v>
      </c>
      <c r="K14" s="195"/>
      <c r="M14">
        <v>3000</v>
      </c>
      <c r="N14">
        <f>+M14*8.5</f>
        <v>25500</v>
      </c>
      <c r="O14" t="s">
        <v>817</v>
      </c>
      <c r="R14" s="196" t="s">
        <v>818</v>
      </c>
      <c r="S14" t="s">
        <v>819</v>
      </c>
      <c r="T14" s="9"/>
    </row>
    <row r="15" spans="1:21" ht="15.75" thickBot="1" x14ac:dyDescent="0.3">
      <c r="A15" s="66" t="s">
        <v>820</v>
      </c>
      <c r="B15" s="65"/>
      <c r="G15" s="197"/>
      <c r="H15" s="198"/>
      <c r="I15" s="198" t="s">
        <v>821</v>
      </c>
      <c r="J15" s="199">
        <v>1926</v>
      </c>
      <c r="K15" s="200"/>
      <c r="R15" s="192" t="s">
        <v>822</v>
      </c>
      <c r="S15" s="193"/>
      <c r="T15" s="201">
        <f>T16-T17-T18-T19-T20-T21</f>
        <v>1408.3</v>
      </c>
      <c r="U15" t="s">
        <v>593</v>
      </c>
    </row>
    <row r="16" spans="1:21" ht="15.75" thickBot="1" x14ac:dyDescent="0.3">
      <c r="G16" s="197"/>
      <c r="H16" s="198"/>
      <c r="I16" s="198" t="s">
        <v>823</v>
      </c>
      <c r="J16" s="198">
        <v>775</v>
      </c>
      <c r="K16" s="200"/>
      <c r="R16" s="197" t="s">
        <v>824</v>
      </c>
      <c r="S16" s="198">
        <v>52</v>
      </c>
      <c r="T16" s="202">
        <v>1924</v>
      </c>
      <c r="U16" t="s">
        <v>593</v>
      </c>
    </row>
    <row r="17" spans="1:21" ht="16.5" thickBot="1" x14ac:dyDescent="0.3">
      <c r="A17" s="449"/>
      <c r="B17" s="424"/>
      <c r="C17" s="425"/>
      <c r="G17" s="197"/>
      <c r="H17" s="198"/>
      <c r="I17" s="198" t="s">
        <v>825</v>
      </c>
      <c r="J17" s="199">
        <v>53365</v>
      </c>
      <c r="K17" s="200" t="s">
        <v>826</v>
      </c>
      <c r="R17" s="197" t="s">
        <v>827</v>
      </c>
      <c r="S17" s="198">
        <v>6</v>
      </c>
      <c r="T17" s="202">
        <f>37*S17</f>
        <v>222</v>
      </c>
      <c r="U17" t="s">
        <v>593</v>
      </c>
    </row>
    <row r="18" spans="1:21" x14ac:dyDescent="0.25">
      <c r="A18" s="426" t="s">
        <v>828</v>
      </c>
      <c r="B18" s="427"/>
      <c r="C18" s="428"/>
      <c r="G18" s="203"/>
      <c r="H18" s="204"/>
      <c r="I18" s="204" t="s">
        <v>829</v>
      </c>
      <c r="J18" s="205">
        <v>14717</v>
      </c>
      <c r="K18" s="206"/>
      <c r="R18" s="197" t="s">
        <v>830</v>
      </c>
      <c r="S18" s="198">
        <v>1</v>
      </c>
      <c r="T18" s="202">
        <f>S18*37</f>
        <v>37</v>
      </c>
      <c r="U18" t="s">
        <v>593</v>
      </c>
    </row>
    <row r="19" spans="1:21" x14ac:dyDescent="0.25">
      <c r="A19" s="417" t="s">
        <v>831</v>
      </c>
      <c r="B19" s="418"/>
      <c r="C19" s="419"/>
      <c r="I19" s="207" t="s">
        <v>832</v>
      </c>
      <c r="J19" s="9">
        <f>+J20-J18-J17-J16-J15-J14</f>
        <v>6722</v>
      </c>
      <c r="R19" s="197" t="s">
        <v>833</v>
      </c>
      <c r="S19" s="198">
        <v>1</v>
      </c>
      <c r="T19" s="208">
        <f>0.05*42*37</f>
        <v>77.7</v>
      </c>
      <c r="U19" s="209" t="s">
        <v>834</v>
      </c>
    </row>
    <row r="20" spans="1:21" x14ac:dyDescent="0.25">
      <c r="A20" s="417"/>
      <c r="B20" s="418"/>
      <c r="C20" s="419"/>
      <c r="I20" s="207" t="s">
        <v>835</v>
      </c>
      <c r="J20" s="9">
        <v>99541</v>
      </c>
      <c r="R20" s="210" t="s">
        <v>836</v>
      </c>
      <c r="S20" s="198">
        <v>2</v>
      </c>
      <c r="T20" s="202">
        <f>2*37</f>
        <v>74</v>
      </c>
    </row>
    <row r="21" spans="1:21" x14ac:dyDescent="0.25">
      <c r="A21" s="417"/>
      <c r="B21" s="418"/>
      <c r="C21" s="419"/>
      <c r="R21" s="203" t="s">
        <v>837</v>
      </c>
      <c r="S21" s="204">
        <v>42</v>
      </c>
      <c r="T21" s="208">
        <f>0.5*5*S21</f>
        <v>105</v>
      </c>
    </row>
    <row r="22" spans="1:21" ht="15.75" thickBot="1" x14ac:dyDescent="0.3">
      <c r="A22" s="420"/>
      <c r="B22" s="421"/>
      <c r="C22" s="422"/>
      <c r="K22">
        <v>54</v>
      </c>
      <c r="N22">
        <v>451</v>
      </c>
      <c r="R22" t="s">
        <v>838</v>
      </c>
      <c r="T22" s="9">
        <v>442629.34120000002</v>
      </c>
      <c r="U22" t="s">
        <v>839</v>
      </c>
    </row>
    <row r="23" spans="1:21" ht="15.75" thickBot="1" x14ac:dyDescent="0.3">
      <c r="A23" s="67"/>
      <c r="B23" s="64"/>
      <c r="C23" s="68" t="s">
        <v>618</v>
      </c>
      <c r="N23">
        <v>8.3518518518518512</v>
      </c>
      <c r="R23" t="s">
        <v>840</v>
      </c>
      <c r="T23" s="201">
        <f>T22/T15</f>
        <v>314.30046240147698</v>
      </c>
      <c r="U23" t="s">
        <v>841</v>
      </c>
    </row>
    <row r="24" spans="1:21" ht="16.5" thickBot="1" x14ac:dyDescent="0.3">
      <c r="A24" s="62" t="s">
        <v>816</v>
      </c>
      <c r="B24" s="69"/>
      <c r="C24" s="70">
        <v>22036</v>
      </c>
      <c r="I24" s="211"/>
      <c r="R24" s="212" t="s">
        <v>842</v>
      </c>
      <c r="T24" s="9">
        <f>T22*$K$25</f>
        <v>444665.43616952002</v>
      </c>
      <c r="U24" t="s">
        <v>839</v>
      </c>
    </row>
    <row r="25" spans="1:21" ht="15.75" thickBot="1" x14ac:dyDescent="0.3">
      <c r="A25" s="62" t="s">
        <v>843</v>
      </c>
      <c r="B25" s="69"/>
      <c r="C25" s="70">
        <f>+M41</f>
        <v>102151.48647750152</v>
      </c>
      <c r="I25" s="192" t="s">
        <v>844</v>
      </c>
      <c r="J25" s="213" t="s">
        <v>845</v>
      </c>
      <c r="K25" s="195">
        <v>1.0045999999999999</v>
      </c>
      <c r="R25" s="212" t="s">
        <v>846</v>
      </c>
      <c r="T25" s="201">
        <f>T24/T15</f>
        <v>315.74624452852379</v>
      </c>
      <c r="U25" t="s">
        <v>841</v>
      </c>
    </row>
    <row r="26" spans="1:21" ht="16.5" thickBot="1" x14ac:dyDescent="0.3">
      <c r="A26" s="62" t="s">
        <v>847</v>
      </c>
      <c r="B26" s="69"/>
      <c r="C26" s="70">
        <v>14717</v>
      </c>
      <c r="G26" s="192"/>
      <c r="H26" s="193" t="s">
        <v>329</v>
      </c>
      <c r="I26" s="214" t="s">
        <v>848</v>
      </c>
      <c r="J26" s="193" t="s">
        <v>849</v>
      </c>
      <c r="K26" s="193" t="s">
        <v>850</v>
      </c>
      <c r="L26" s="193" t="s">
        <v>840</v>
      </c>
      <c r="M26" s="195"/>
    </row>
    <row r="27" spans="1:21" ht="15.75" thickBot="1" x14ac:dyDescent="0.3">
      <c r="A27" s="62" t="s">
        <v>851</v>
      </c>
      <c r="B27" s="69" t="s">
        <v>852</v>
      </c>
      <c r="C27" s="70">
        <v>6772</v>
      </c>
      <c r="G27" s="197" t="s">
        <v>853</v>
      </c>
      <c r="H27" s="198">
        <v>2</v>
      </c>
      <c r="I27" s="198">
        <v>12</v>
      </c>
      <c r="J27" s="198">
        <f t="shared" ref="J27:J32" si="0">+I27*1.25</f>
        <v>15</v>
      </c>
      <c r="K27" s="198">
        <f t="shared" ref="K27:K32" si="1">+J27*H27</f>
        <v>30</v>
      </c>
      <c r="L27" s="199">
        <f>+T67</f>
        <v>317.46019456448198</v>
      </c>
      <c r="M27" s="202">
        <f t="shared" ref="M27:M32" si="2">+L27*K27</f>
        <v>9523.8058369344599</v>
      </c>
    </row>
    <row r="28" spans="1:21" ht="15.75" thickBot="1" x14ac:dyDescent="0.3">
      <c r="A28" s="62" t="s">
        <v>854</v>
      </c>
      <c r="B28" s="69"/>
      <c r="C28" s="71">
        <v>1926</v>
      </c>
      <c r="G28" s="197" t="s">
        <v>853</v>
      </c>
      <c r="H28" s="198">
        <v>2</v>
      </c>
      <c r="I28" s="198">
        <v>8</v>
      </c>
      <c r="J28" s="198">
        <f t="shared" si="0"/>
        <v>10</v>
      </c>
      <c r="K28" s="198">
        <f t="shared" si="1"/>
        <v>20</v>
      </c>
      <c r="L28" s="199">
        <f>+T67</f>
        <v>317.46019456448198</v>
      </c>
      <c r="M28" s="202">
        <f t="shared" si="2"/>
        <v>6349.2038912896396</v>
      </c>
      <c r="R28" s="196" t="s">
        <v>855</v>
      </c>
      <c r="S28" t="s">
        <v>819</v>
      </c>
      <c r="T28" s="9"/>
    </row>
    <row r="29" spans="1:21" ht="15.75" thickBot="1" x14ac:dyDescent="0.3">
      <c r="A29" s="62" t="s">
        <v>823</v>
      </c>
      <c r="B29" s="69"/>
      <c r="C29" s="71">
        <v>775</v>
      </c>
      <c r="G29" s="197" t="s">
        <v>621</v>
      </c>
      <c r="H29" s="198">
        <v>3</v>
      </c>
      <c r="I29" s="198">
        <v>10</v>
      </c>
      <c r="J29" s="198">
        <f t="shared" si="0"/>
        <v>12.5</v>
      </c>
      <c r="K29" s="198">
        <f t="shared" si="1"/>
        <v>37.5</v>
      </c>
      <c r="L29" s="199">
        <f>+T39</f>
        <v>644.80283475693136</v>
      </c>
      <c r="M29" s="202">
        <f t="shared" si="2"/>
        <v>24180.106303384928</v>
      </c>
      <c r="R29" s="192" t="s">
        <v>822</v>
      </c>
      <c r="S29" s="193"/>
      <c r="T29" s="201">
        <f>T30-T31-T32-T33-T34-T35</f>
        <v>1371.3</v>
      </c>
      <c r="U29" t="s">
        <v>593</v>
      </c>
    </row>
    <row r="30" spans="1:21" ht="15.75" thickBot="1" x14ac:dyDescent="0.3">
      <c r="A30" s="62"/>
      <c r="B30" s="69"/>
      <c r="C30" s="71"/>
      <c r="G30" s="197" t="s">
        <v>856</v>
      </c>
      <c r="H30" s="198">
        <v>1</v>
      </c>
      <c r="I30" s="198">
        <v>11</v>
      </c>
      <c r="J30" s="198">
        <f t="shared" si="0"/>
        <v>13.75</v>
      </c>
      <c r="K30" s="198">
        <f t="shared" si="1"/>
        <v>13.75</v>
      </c>
      <c r="L30" s="199">
        <f>+T25</f>
        <v>315.74624452852379</v>
      </c>
      <c r="M30" s="202">
        <f t="shared" si="2"/>
        <v>4341.5108622672024</v>
      </c>
      <c r="R30" s="197" t="s">
        <v>824</v>
      </c>
      <c r="S30" s="198">
        <v>52</v>
      </c>
      <c r="T30" s="202">
        <v>1924</v>
      </c>
      <c r="U30" t="s">
        <v>593</v>
      </c>
    </row>
    <row r="31" spans="1:21" ht="15.75" thickBot="1" x14ac:dyDescent="0.3">
      <c r="A31" s="62"/>
      <c r="B31" s="69"/>
      <c r="C31" s="70"/>
      <c r="G31" s="197" t="s">
        <v>857</v>
      </c>
      <c r="H31" s="198">
        <v>0.5</v>
      </c>
      <c r="I31" s="198">
        <v>11</v>
      </c>
      <c r="J31" s="198">
        <f t="shared" si="0"/>
        <v>13.75</v>
      </c>
      <c r="K31" s="198">
        <f t="shared" si="1"/>
        <v>6.875</v>
      </c>
      <c r="L31" s="199">
        <f>+T53</f>
        <v>565.68954572522421</v>
      </c>
      <c r="M31" s="202">
        <f t="shared" si="2"/>
        <v>3889.1156268609166</v>
      </c>
      <c r="R31" s="197" t="s">
        <v>827</v>
      </c>
      <c r="S31" s="198">
        <v>6</v>
      </c>
      <c r="T31" s="202">
        <f>37*S31</f>
        <v>222</v>
      </c>
      <c r="U31" t="s">
        <v>593</v>
      </c>
    </row>
    <row r="32" spans="1:21" ht="15.75" thickBot="1" x14ac:dyDescent="0.3">
      <c r="A32" s="62"/>
      <c r="B32" s="69"/>
      <c r="C32" s="71"/>
      <c r="G32" s="197" t="s">
        <v>858</v>
      </c>
      <c r="H32" s="198">
        <v>0.2</v>
      </c>
      <c r="I32" s="198">
        <v>11</v>
      </c>
      <c r="J32" s="198">
        <f t="shared" si="0"/>
        <v>13.75</v>
      </c>
      <c r="K32" s="198">
        <f t="shared" si="1"/>
        <v>2.75</v>
      </c>
      <c r="L32" s="199">
        <f>+T81</f>
        <v>270.15951714200099</v>
      </c>
      <c r="M32" s="202">
        <f t="shared" si="2"/>
        <v>742.93867214050272</v>
      </c>
      <c r="R32" s="197" t="s">
        <v>859</v>
      </c>
      <c r="S32" s="198">
        <v>2</v>
      </c>
      <c r="T32" s="202">
        <f>S32*37</f>
        <v>74</v>
      </c>
      <c r="U32" t="s">
        <v>593</v>
      </c>
    </row>
    <row r="33" spans="1:21" ht="15.75" thickBot="1" x14ac:dyDescent="0.3">
      <c r="A33" s="72" t="s">
        <v>125</v>
      </c>
      <c r="B33" s="69"/>
      <c r="C33" s="73">
        <f>SUM(C24:C32)</f>
        <v>148377.48647750152</v>
      </c>
      <c r="G33" s="215" t="s">
        <v>860</v>
      </c>
      <c r="H33" s="216"/>
      <c r="I33" s="216"/>
      <c r="J33" s="216"/>
      <c r="K33" s="217">
        <f>SUM(K27:K32)</f>
        <v>110.875</v>
      </c>
      <c r="L33" s="217"/>
      <c r="M33" s="218">
        <f>SUM(M27:M32)</f>
        <v>49026.681192877651</v>
      </c>
      <c r="R33" s="197" t="s">
        <v>833</v>
      </c>
      <c r="S33" s="198">
        <v>1</v>
      </c>
      <c r="T33" s="208">
        <f>0.05*42*37</f>
        <v>77.7</v>
      </c>
      <c r="U33" s="209" t="s">
        <v>834</v>
      </c>
    </row>
    <row r="34" spans="1:21" ht="15.75" thickBot="1" x14ac:dyDescent="0.3">
      <c r="G34" s="215" t="s">
        <v>861</v>
      </c>
      <c r="H34" s="216"/>
      <c r="I34" s="216"/>
      <c r="J34" s="216"/>
      <c r="K34" s="216"/>
      <c r="L34" s="216"/>
      <c r="M34" s="218">
        <f>0.31*M33</f>
        <v>15198.271169792071</v>
      </c>
      <c r="R34" s="210" t="s">
        <v>836</v>
      </c>
      <c r="S34" s="198">
        <v>2</v>
      </c>
      <c r="T34" s="202">
        <f>2*37</f>
        <v>74</v>
      </c>
    </row>
    <row r="35" spans="1:21" ht="16.5" thickBot="1" x14ac:dyDescent="0.3">
      <c r="A35" s="449"/>
      <c r="B35" s="424"/>
      <c r="C35" s="425"/>
      <c r="G35" s="219" t="s">
        <v>862</v>
      </c>
      <c r="H35" s="220"/>
      <c r="I35" s="220"/>
      <c r="J35" s="220"/>
      <c r="K35" s="220"/>
      <c r="L35" s="220"/>
      <c r="M35" s="221">
        <f>+M33+M34</f>
        <v>64224.952362669719</v>
      </c>
      <c r="R35" s="203" t="s">
        <v>837</v>
      </c>
      <c r="S35" s="204">
        <v>42</v>
      </c>
      <c r="T35" s="208">
        <f>0.5*5*S35</f>
        <v>105</v>
      </c>
    </row>
    <row r="36" spans="1:21" ht="15.75" thickBot="1" x14ac:dyDescent="0.3">
      <c r="A36" s="426"/>
      <c r="B36" s="427"/>
      <c r="C36" s="428"/>
      <c r="G36" s="197" t="s">
        <v>863</v>
      </c>
      <c r="H36" s="198">
        <v>2</v>
      </c>
      <c r="I36" s="198">
        <v>0.5</v>
      </c>
      <c r="J36" s="198"/>
      <c r="K36" s="198">
        <f>+H36*I36</f>
        <v>1</v>
      </c>
      <c r="L36" s="199">
        <f>+T81</f>
        <v>270.15951714200099</v>
      </c>
      <c r="M36" s="202">
        <f>+L36*K36</f>
        <v>270.15951714200099</v>
      </c>
      <c r="R36" t="s">
        <v>621</v>
      </c>
      <c r="T36" s="9">
        <v>880169.34829999995</v>
      </c>
      <c r="U36" t="s">
        <v>839</v>
      </c>
    </row>
    <row r="37" spans="1:21" ht="15.75" thickBot="1" x14ac:dyDescent="0.3">
      <c r="A37" s="417"/>
      <c r="B37" s="418"/>
      <c r="C37" s="419"/>
      <c r="G37" s="197" t="s">
        <v>864</v>
      </c>
      <c r="H37" s="198">
        <v>2</v>
      </c>
      <c r="I37" s="198"/>
      <c r="J37" s="198"/>
      <c r="K37" s="198"/>
      <c r="L37" s="198">
        <v>2500</v>
      </c>
      <c r="M37" s="200">
        <f>+H37*L37</f>
        <v>5000</v>
      </c>
      <c r="R37" t="s">
        <v>840</v>
      </c>
      <c r="T37" s="201">
        <f>T36/T29</f>
        <v>641.85032326988983</v>
      </c>
      <c r="U37" t="s">
        <v>841</v>
      </c>
    </row>
    <row r="38" spans="1:21" ht="15.75" thickBot="1" x14ac:dyDescent="0.3">
      <c r="A38" s="417"/>
      <c r="B38" s="418"/>
      <c r="C38" s="419"/>
      <c r="G38" s="197" t="s">
        <v>865</v>
      </c>
      <c r="H38" s="198">
        <v>1</v>
      </c>
      <c r="I38" s="198"/>
      <c r="J38" s="198"/>
      <c r="K38" s="198"/>
      <c r="L38" s="198">
        <v>12000</v>
      </c>
      <c r="M38" s="200">
        <f>+L38*H38</f>
        <v>12000</v>
      </c>
      <c r="R38" s="212" t="s">
        <v>842</v>
      </c>
      <c r="T38" s="9">
        <f>T36*$K$25</f>
        <v>884218.12730217993</v>
      </c>
      <c r="U38" t="s">
        <v>839</v>
      </c>
    </row>
    <row r="39" spans="1:21" ht="15.75" thickBot="1" x14ac:dyDescent="0.3">
      <c r="A39" s="417"/>
      <c r="B39" s="418"/>
      <c r="C39" s="419"/>
      <c r="G39" s="197" t="s">
        <v>866</v>
      </c>
      <c r="H39" s="222">
        <v>0.3</v>
      </c>
      <c r="I39" s="198"/>
      <c r="J39" s="198"/>
      <c r="K39" s="198"/>
      <c r="L39" s="198"/>
      <c r="M39" s="202">
        <f>0.3*M35</f>
        <v>19267.485708800916</v>
      </c>
      <c r="R39" s="212" t="s">
        <v>846</v>
      </c>
      <c r="T39" s="201">
        <f>T38/T29</f>
        <v>644.80283475693136</v>
      </c>
      <c r="U39" t="s">
        <v>841</v>
      </c>
    </row>
    <row r="40" spans="1:21" ht="15.75" thickBot="1" x14ac:dyDescent="0.3">
      <c r="A40" s="420"/>
      <c r="B40" s="421"/>
      <c r="C40" s="422"/>
      <c r="G40" s="197" t="s">
        <v>867</v>
      </c>
      <c r="H40" s="198">
        <f>10/54</f>
        <v>0.18518518518518517</v>
      </c>
      <c r="I40" s="198"/>
      <c r="J40" s="198"/>
      <c r="K40" s="198"/>
      <c r="L40" s="198">
        <v>7500</v>
      </c>
      <c r="M40" s="202">
        <f>+L40*H40</f>
        <v>1388.8888888888889</v>
      </c>
    </row>
    <row r="41" spans="1:21" ht="15.75" thickBot="1" x14ac:dyDescent="0.3">
      <c r="A41" s="67"/>
      <c r="B41" s="64"/>
      <c r="C41" s="68" t="s">
        <v>618</v>
      </c>
      <c r="G41" s="203" t="s">
        <v>868</v>
      </c>
      <c r="H41" s="204"/>
      <c r="I41" s="204"/>
      <c r="J41" s="204"/>
      <c r="K41" s="204"/>
      <c r="L41" s="204"/>
      <c r="M41" s="208">
        <f>SUM(M35:M40)</f>
        <v>102151.48647750152</v>
      </c>
    </row>
    <row r="42" spans="1:21" ht="15.75" thickBot="1" x14ac:dyDescent="0.3">
      <c r="A42" s="62"/>
      <c r="B42" s="69"/>
      <c r="C42" s="70"/>
      <c r="R42" s="196" t="s">
        <v>857</v>
      </c>
      <c r="S42" t="s">
        <v>819</v>
      </c>
      <c r="T42" s="9"/>
    </row>
    <row r="43" spans="1:21" ht="15.75" thickBot="1" x14ac:dyDescent="0.3">
      <c r="A43" s="62"/>
      <c r="B43" s="69"/>
      <c r="C43" s="70"/>
      <c r="R43" s="192" t="s">
        <v>822</v>
      </c>
      <c r="S43" s="193"/>
      <c r="T43" s="201">
        <f>T44-T45-T46-T47-T48-T49</f>
        <v>1371.3</v>
      </c>
      <c r="U43" t="s">
        <v>593</v>
      </c>
    </row>
    <row r="44" spans="1:21" ht="15.75" thickBot="1" x14ac:dyDescent="0.3">
      <c r="A44" s="62"/>
      <c r="B44" s="69"/>
      <c r="C44" s="70"/>
      <c r="E44" t="s">
        <v>869</v>
      </c>
      <c r="R44" s="197" t="s">
        <v>824</v>
      </c>
      <c r="S44" s="198">
        <v>52</v>
      </c>
      <c r="T44" s="202">
        <v>1924</v>
      </c>
      <c r="U44" t="s">
        <v>593</v>
      </c>
    </row>
    <row r="45" spans="1:21" ht="15.75" thickBot="1" x14ac:dyDescent="0.3">
      <c r="A45" s="62"/>
      <c r="B45" s="69"/>
      <c r="C45" s="70"/>
      <c r="R45" s="197" t="s">
        <v>827</v>
      </c>
      <c r="S45" s="198">
        <v>6</v>
      </c>
      <c r="T45" s="202">
        <f>37*S45</f>
        <v>222</v>
      </c>
      <c r="U45" t="s">
        <v>593</v>
      </c>
    </row>
    <row r="46" spans="1:21" ht="15.75" thickBot="1" x14ac:dyDescent="0.3">
      <c r="A46" s="62"/>
      <c r="B46" s="69"/>
      <c r="C46" s="70"/>
      <c r="R46" s="197" t="s">
        <v>859</v>
      </c>
      <c r="S46" s="198">
        <v>2</v>
      </c>
      <c r="T46" s="202">
        <f>S46*37</f>
        <v>74</v>
      </c>
      <c r="U46" t="s">
        <v>593</v>
      </c>
    </row>
    <row r="47" spans="1:21" ht="15.75" thickBot="1" x14ac:dyDescent="0.3">
      <c r="A47" s="62"/>
      <c r="B47" s="69"/>
      <c r="C47" s="71"/>
      <c r="R47" s="197" t="s">
        <v>833</v>
      </c>
      <c r="S47" s="198">
        <v>1</v>
      </c>
      <c r="T47" s="208">
        <f>0.05*42*37</f>
        <v>77.7</v>
      </c>
      <c r="U47" s="209" t="s">
        <v>834</v>
      </c>
    </row>
    <row r="48" spans="1:21" ht="15.75" thickBot="1" x14ac:dyDescent="0.3">
      <c r="A48" s="62"/>
      <c r="B48" s="69"/>
      <c r="C48" s="70"/>
      <c r="R48" s="210" t="s">
        <v>836</v>
      </c>
      <c r="S48" s="198">
        <v>2</v>
      </c>
      <c r="T48" s="202">
        <f>2*37</f>
        <v>74</v>
      </c>
    </row>
    <row r="49" spans="1:21" ht="15.75" thickBot="1" x14ac:dyDescent="0.3">
      <c r="A49" s="62"/>
      <c r="B49" s="69"/>
      <c r="C49" s="70"/>
      <c r="R49" s="203" t="s">
        <v>837</v>
      </c>
      <c r="S49" s="204">
        <v>42</v>
      </c>
      <c r="T49" s="208">
        <f>0.5*5*S49</f>
        <v>105</v>
      </c>
    </row>
    <row r="50" spans="1:21" ht="15.75" thickBot="1" x14ac:dyDescent="0.3">
      <c r="A50" s="62"/>
      <c r="B50" s="69"/>
      <c r="C50" s="71"/>
      <c r="R50" t="s">
        <v>857</v>
      </c>
      <c r="T50" s="9">
        <v>772178.05500000005</v>
      </c>
      <c r="U50" t="s">
        <v>839</v>
      </c>
    </row>
    <row r="51" spans="1:21" ht="15.75" thickBot="1" x14ac:dyDescent="0.3">
      <c r="A51" s="72"/>
      <c r="B51" s="69"/>
      <c r="C51" s="73"/>
      <c r="R51" t="s">
        <v>840</v>
      </c>
      <c r="T51" s="201">
        <f>T50/T43</f>
        <v>563.09928899584338</v>
      </c>
      <c r="U51" t="s">
        <v>841</v>
      </c>
    </row>
    <row r="52" spans="1:21" ht="15.75" thickBot="1" x14ac:dyDescent="0.3">
      <c r="R52" s="212" t="s">
        <v>842</v>
      </c>
      <c r="T52" s="9">
        <f>T50*$K$25</f>
        <v>775730.07405299996</v>
      </c>
      <c r="U52" t="s">
        <v>839</v>
      </c>
    </row>
    <row r="53" spans="1:21" ht="15.75" thickBot="1" x14ac:dyDescent="0.3">
      <c r="R53" s="212" t="s">
        <v>846</v>
      </c>
      <c r="T53" s="201">
        <f>T52/T43</f>
        <v>565.68954572522421</v>
      </c>
      <c r="U53" t="s">
        <v>841</v>
      </c>
    </row>
    <row r="56" spans="1:21" ht="15.75" thickBot="1" x14ac:dyDescent="0.3">
      <c r="R56" s="196" t="s">
        <v>870</v>
      </c>
      <c r="S56" t="s">
        <v>819</v>
      </c>
      <c r="T56" s="9"/>
    </row>
    <row r="57" spans="1:21" ht="15.75" thickBot="1" x14ac:dyDescent="0.3">
      <c r="R57" s="192" t="s">
        <v>822</v>
      </c>
      <c r="S57" s="193"/>
      <c r="T57" s="201">
        <f>T58-T59-T60-T61-T62-T63</f>
        <v>1408.3</v>
      </c>
      <c r="U57" t="s">
        <v>593</v>
      </c>
    </row>
    <row r="58" spans="1:21" x14ac:dyDescent="0.25">
      <c r="R58" s="197" t="s">
        <v>824</v>
      </c>
      <c r="S58" s="198">
        <v>52</v>
      </c>
      <c r="T58" s="202">
        <v>1924</v>
      </c>
      <c r="U58" t="s">
        <v>593</v>
      </c>
    </row>
    <row r="59" spans="1:21" x14ac:dyDescent="0.25">
      <c r="R59" s="197" t="s">
        <v>827</v>
      </c>
      <c r="S59" s="198">
        <v>6</v>
      </c>
      <c r="T59" s="202">
        <f>37*S59</f>
        <v>222</v>
      </c>
      <c r="U59" t="s">
        <v>593</v>
      </c>
    </row>
    <row r="60" spans="1:21" x14ac:dyDescent="0.25">
      <c r="R60" s="197" t="s">
        <v>871</v>
      </c>
      <c r="S60" s="198">
        <v>1</v>
      </c>
      <c r="T60" s="202">
        <f>S60*37</f>
        <v>37</v>
      </c>
      <c r="U60" t="s">
        <v>593</v>
      </c>
    </row>
    <row r="61" spans="1:21" x14ac:dyDescent="0.25">
      <c r="R61" s="197" t="s">
        <v>833</v>
      </c>
      <c r="S61" s="198">
        <v>1</v>
      </c>
      <c r="T61" s="208">
        <f>0.05*42*37</f>
        <v>77.7</v>
      </c>
      <c r="U61" s="209" t="s">
        <v>834</v>
      </c>
    </row>
    <row r="62" spans="1:21" x14ac:dyDescent="0.25">
      <c r="R62" s="210" t="s">
        <v>836</v>
      </c>
      <c r="S62" s="198">
        <v>2</v>
      </c>
      <c r="T62" s="202">
        <f>2*37</f>
        <v>74</v>
      </c>
    </row>
    <row r="63" spans="1:21" x14ac:dyDescent="0.25">
      <c r="R63" s="203" t="s">
        <v>837</v>
      </c>
      <c r="S63" s="204">
        <v>42</v>
      </c>
      <c r="T63" s="208">
        <f>0.5*5*S63</f>
        <v>105</v>
      </c>
    </row>
    <row r="64" spans="1:21" ht="15.75" thickBot="1" x14ac:dyDescent="0.3">
      <c r="R64" t="s">
        <v>870</v>
      </c>
      <c r="T64" s="9">
        <v>445032.04460000002</v>
      </c>
      <c r="U64" t="s">
        <v>839</v>
      </c>
    </row>
    <row r="65" spans="18:21" ht="15.75" thickBot="1" x14ac:dyDescent="0.3">
      <c r="R65" t="s">
        <v>840</v>
      </c>
      <c r="T65" s="201">
        <f>T64/T57</f>
        <v>316.00656436838744</v>
      </c>
      <c r="U65" t="s">
        <v>841</v>
      </c>
    </row>
    <row r="66" spans="18:21" ht="15.75" thickBot="1" x14ac:dyDescent="0.3">
      <c r="R66" s="212" t="s">
        <v>842</v>
      </c>
      <c r="T66" s="9">
        <f>T64*$K$25</f>
        <v>447079.19200515997</v>
      </c>
      <c r="U66" t="s">
        <v>839</v>
      </c>
    </row>
    <row r="67" spans="18:21" ht="15.75" thickBot="1" x14ac:dyDescent="0.3">
      <c r="R67" s="212" t="s">
        <v>846</v>
      </c>
      <c r="T67" s="201">
        <f>T66/T57</f>
        <v>317.46019456448198</v>
      </c>
      <c r="U67" t="s">
        <v>841</v>
      </c>
    </row>
    <row r="70" spans="18:21" ht="15.75" thickBot="1" x14ac:dyDescent="0.3">
      <c r="R70" s="196" t="s">
        <v>872</v>
      </c>
      <c r="S70" t="s">
        <v>819</v>
      </c>
      <c r="T70" s="9"/>
    </row>
    <row r="71" spans="18:21" ht="15.75" thickBot="1" x14ac:dyDescent="0.3">
      <c r="R71" s="192" t="s">
        <v>822</v>
      </c>
      <c r="S71" s="193"/>
      <c r="T71" s="201">
        <f>T72-T73-T74-T75-T76-T77</f>
        <v>1408.3</v>
      </c>
    </row>
    <row r="72" spans="18:21" x14ac:dyDescent="0.25">
      <c r="R72" s="197" t="s">
        <v>824</v>
      </c>
      <c r="S72" s="198">
        <v>52</v>
      </c>
      <c r="T72" s="202">
        <v>1924</v>
      </c>
    </row>
    <row r="73" spans="18:21" x14ac:dyDescent="0.25">
      <c r="R73" s="197" t="s">
        <v>827</v>
      </c>
      <c r="S73" s="198">
        <v>6</v>
      </c>
      <c r="T73" s="202">
        <f>37*S73</f>
        <v>222</v>
      </c>
    </row>
    <row r="74" spans="18:21" x14ac:dyDescent="0.25">
      <c r="R74" s="197" t="s">
        <v>871</v>
      </c>
      <c r="S74" s="198">
        <v>1</v>
      </c>
      <c r="T74" s="202">
        <f>S74*37</f>
        <v>37</v>
      </c>
    </row>
    <row r="75" spans="18:21" x14ac:dyDescent="0.25">
      <c r="R75" s="197" t="s">
        <v>833</v>
      </c>
      <c r="S75" s="198">
        <v>1</v>
      </c>
      <c r="T75" s="208">
        <f>0.05*42*37</f>
        <v>77.7</v>
      </c>
    </row>
    <row r="76" spans="18:21" x14ac:dyDescent="0.25">
      <c r="R76" s="210" t="s">
        <v>836</v>
      </c>
      <c r="S76" s="198">
        <v>2</v>
      </c>
      <c r="T76" s="202">
        <f>2*37</f>
        <v>74</v>
      </c>
    </row>
    <row r="77" spans="18:21" x14ac:dyDescent="0.25">
      <c r="R77" s="203" t="s">
        <v>837</v>
      </c>
      <c r="S77" s="204">
        <v>42</v>
      </c>
      <c r="T77" s="208">
        <f>0.5*5*S77</f>
        <v>105</v>
      </c>
    </row>
    <row r="78" spans="18:21" ht="15.75" thickBot="1" x14ac:dyDescent="0.3">
      <c r="R78" t="s">
        <v>858</v>
      </c>
      <c r="T78" s="9">
        <v>378723.51980000001</v>
      </c>
    </row>
    <row r="79" spans="18:21" ht="15.75" thickBot="1" x14ac:dyDescent="0.3">
      <c r="R79" t="s">
        <v>840</v>
      </c>
      <c r="T79" s="201">
        <f>T78/T71</f>
        <v>268.92247376269262</v>
      </c>
    </row>
    <row r="80" spans="18:21" ht="15.75" thickBot="1" x14ac:dyDescent="0.3">
      <c r="R80" s="212" t="s">
        <v>842</v>
      </c>
      <c r="T80" s="9">
        <f>T78*$K$25</f>
        <v>380465.64799108001</v>
      </c>
    </row>
    <row r="81" spans="18:20" ht="15.75" thickBot="1" x14ac:dyDescent="0.3">
      <c r="R81" s="212" t="s">
        <v>846</v>
      </c>
      <c r="T81" s="201">
        <f>T80/T71</f>
        <v>270.15951714200099</v>
      </c>
    </row>
  </sheetData>
  <mergeCells count="14">
    <mergeCell ref="A20:C20"/>
    <mergeCell ref="A6:B6"/>
    <mergeCell ref="A13:B13"/>
    <mergeCell ref="A17:C17"/>
    <mergeCell ref="A18:C18"/>
    <mergeCell ref="A19:C19"/>
    <mergeCell ref="A39:C39"/>
    <mergeCell ref="A40:C40"/>
    <mergeCell ref="A21:C21"/>
    <mergeCell ref="A22:C22"/>
    <mergeCell ref="A35:C35"/>
    <mergeCell ref="A36:C36"/>
    <mergeCell ref="A37:C37"/>
    <mergeCell ref="A38:C3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workbookViewId="0"/>
  </sheetViews>
  <sheetFormatPr defaultRowHeight="15" x14ac:dyDescent="0.25"/>
  <cols>
    <col min="1" max="1" width="32" customWidth="1"/>
  </cols>
  <sheetData>
    <row r="1" spans="1:8" ht="120" x14ac:dyDescent="0.25">
      <c r="A1" s="223" t="s">
        <v>873</v>
      </c>
    </row>
    <row r="4" spans="1:8" x14ac:dyDescent="0.25">
      <c r="A4" s="224" t="s">
        <v>875</v>
      </c>
      <c r="B4" s="224" t="s">
        <v>876</v>
      </c>
      <c r="C4" s="224" t="s">
        <v>877</v>
      </c>
      <c r="D4" s="224" t="s">
        <v>878</v>
      </c>
      <c r="E4" s="224" t="s">
        <v>879</v>
      </c>
      <c r="F4" s="224" t="s">
        <v>880</v>
      </c>
      <c r="G4" s="224" t="s">
        <v>881</v>
      </c>
      <c r="H4" s="224" t="s">
        <v>882</v>
      </c>
    </row>
    <row r="5" spans="1:8" x14ac:dyDescent="0.25">
      <c r="A5" s="225">
        <v>20133</v>
      </c>
      <c r="B5" s="225">
        <v>196.03399999999999</v>
      </c>
      <c r="C5" s="226" t="s">
        <v>883</v>
      </c>
      <c r="D5" s="225">
        <v>8</v>
      </c>
      <c r="E5" s="226" t="s">
        <v>884</v>
      </c>
      <c r="F5" s="226" t="s">
        <v>885</v>
      </c>
      <c r="G5" s="225">
        <v>204</v>
      </c>
      <c r="H5" s="225">
        <v>196</v>
      </c>
    </row>
    <row r="6" spans="1:8" x14ac:dyDescent="0.25">
      <c r="A6" s="225">
        <v>20386</v>
      </c>
      <c r="B6" s="225">
        <v>196.03399999999999</v>
      </c>
      <c r="C6" s="226" t="s">
        <v>883</v>
      </c>
      <c r="D6" s="225">
        <v>3</v>
      </c>
      <c r="E6" s="226" t="s">
        <v>884</v>
      </c>
      <c r="F6" s="226" t="s">
        <v>885</v>
      </c>
      <c r="G6" s="225">
        <v>173</v>
      </c>
      <c r="H6" s="225">
        <v>186</v>
      </c>
    </row>
    <row r="7" spans="1:8" x14ac:dyDescent="0.25">
      <c r="A7" s="225">
        <v>20323</v>
      </c>
      <c r="B7" s="225">
        <v>196.03399999999999</v>
      </c>
      <c r="C7" s="226" t="s">
        <v>883</v>
      </c>
      <c r="D7" s="225">
        <v>13</v>
      </c>
      <c r="E7" s="226" t="s">
        <v>884</v>
      </c>
      <c r="F7" s="226" t="s">
        <v>885</v>
      </c>
      <c r="G7" s="225">
        <v>374</v>
      </c>
      <c r="H7" s="225">
        <v>368</v>
      </c>
    </row>
    <row r="8" spans="1:8" x14ac:dyDescent="0.25">
      <c r="A8" s="225">
        <v>20334</v>
      </c>
      <c r="B8" s="225">
        <v>196.03399999999999</v>
      </c>
      <c r="C8" s="226" t="s">
        <v>883</v>
      </c>
      <c r="D8" s="225">
        <v>5</v>
      </c>
      <c r="E8" s="226" t="s">
        <v>884</v>
      </c>
      <c r="F8" s="226" t="s">
        <v>885</v>
      </c>
      <c r="G8" s="225">
        <v>386</v>
      </c>
      <c r="H8" s="225">
        <v>407</v>
      </c>
    </row>
    <row r="9" spans="1:8" x14ac:dyDescent="0.25">
      <c r="A9" s="225">
        <v>20409</v>
      </c>
      <c r="B9" s="225">
        <v>196.03399999999999</v>
      </c>
      <c r="C9" s="226" t="s">
        <v>883</v>
      </c>
      <c r="D9" s="225">
        <v>8</v>
      </c>
      <c r="E9" s="226" t="s">
        <v>884</v>
      </c>
      <c r="F9" s="226" t="s">
        <v>885</v>
      </c>
      <c r="G9" s="225">
        <v>220</v>
      </c>
      <c r="H9" s="225">
        <v>202</v>
      </c>
    </row>
    <row r="10" spans="1:8" x14ac:dyDescent="0.25">
      <c r="A10" s="225">
        <v>20411</v>
      </c>
      <c r="B10" s="225">
        <v>196.03399999999999</v>
      </c>
      <c r="C10" s="226" t="s">
        <v>883</v>
      </c>
      <c r="D10" s="225">
        <v>12</v>
      </c>
      <c r="E10" s="226" t="s">
        <v>884</v>
      </c>
      <c r="F10" s="226" t="s">
        <v>885</v>
      </c>
      <c r="G10" s="225">
        <v>399</v>
      </c>
      <c r="H10" s="225">
        <v>428</v>
      </c>
    </row>
    <row r="11" spans="1:8" x14ac:dyDescent="0.25">
      <c r="A11" s="225">
        <v>20412</v>
      </c>
      <c r="B11" s="225">
        <v>196.03399999999999</v>
      </c>
      <c r="C11" s="226" t="s">
        <v>883</v>
      </c>
      <c r="D11" s="225">
        <v>11</v>
      </c>
      <c r="E11" s="226" t="s">
        <v>884</v>
      </c>
      <c r="F11" s="226" t="s">
        <v>885</v>
      </c>
      <c r="G11" s="225">
        <v>517</v>
      </c>
      <c r="H11" s="225">
        <v>512</v>
      </c>
    </row>
    <row r="12" spans="1:8" x14ac:dyDescent="0.25">
      <c r="A12" s="225">
        <v>20636</v>
      </c>
      <c r="B12" s="225">
        <v>196.03399999999999</v>
      </c>
      <c r="C12" s="226" t="s">
        <v>883</v>
      </c>
      <c r="D12" s="225">
        <v>4</v>
      </c>
      <c r="E12" s="226" t="s">
        <v>884</v>
      </c>
      <c r="F12" s="226" t="s">
        <v>885</v>
      </c>
      <c r="G12" s="225">
        <v>229</v>
      </c>
      <c r="H12" s="225">
        <v>255</v>
      </c>
    </row>
    <row r="13" spans="1:8" x14ac:dyDescent="0.25">
      <c r="A13" s="225">
        <v>20879</v>
      </c>
      <c r="B13" s="225">
        <v>196.03399999999999</v>
      </c>
      <c r="C13" s="226" t="s">
        <v>883</v>
      </c>
      <c r="D13" s="225">
        <v>3</v>
      </c>
      <c r="E13" s="226" t="s">
        <v>884</v>
      </c>
      <c r="F13" s="226" t="s">
        <v>885</v>
      </c>
      <c r="G13" s="225">
        <v>178</v>
      </c>
      <c r="H13" s="225">
        <v>194</v>
      </c>
    </row>
    <row r="14" spans="1:8" x14ac:dyDescent="0.25">
      <c r="A14" s="225">
        <v>21319</v>
      </c>
      <c r="B14" s="225">
        <v>196.03399999999999</v>
      </c>
      <c r="C14" s="226" t="s">
        <v>883</v>
      </c>
      <c r="D14" s="225">
        <v>6</v>
      </c>
      <c r="E14" s="226" t="s">
        <v>884</v>
      </c>
      <c r="F14" s="226" t="s">
        <v>885</v>
      </c>
      <c r="G14" s="225">
        <v>952</v>
      </c>
      <c r="H14" s="225">
        <v>945</v>
      </c>
    </row>
    <row r="15" spans="1:8" x14ac:dyDescent="0.25">
      <c r="A15" s="225">
        <v>21320</v>
      </c>
      <c r="B15" s="225">
        <v>196.03399999999999</v>
      </c>
      <c r="C15" s="226" t="s">
        <v>883</v>
      </c>
      <c r="D15" s="225">
        <v>6</v>
      </c>
      <c r="E15" s="226" t="s">
        <v>884</v>
      </c>
      <c r="F15" s="226" t="s">
        <v>885</v>
      </c>
      <c r="G15" s="225">
        <v>796</v>
      </c>
      <c r="H15" s="225">
        <v>783</v>
      </c>
    </row>
    <row r="16" spans="1:8" x14ac:dyDescent="0.25">
      <c r="A16" s="225">
        <v>21339</v>
      </c>
      <c r="B16" s="225">
        <v>196.03399999999999</v>
      </c>
      <c r="C16" s="226" t="s">
        <v>883</v>
      </c>
      <c r="D16" s="225">
        <v>6</v>
      </c>
      <c r="E16" s="226" t="s">
        <v>884</v>
      </c>
      <c r="F16" s="226" t="s">
        <v>885</v>
      </c>
      <c r="G16" s="225">
        <v>669</v>
      </c>
      <c r="H16" s="225">
        <v>656</v>
      </c>
    </row>
    <row r="17" spans="1:8" x14ac:dyDescent="0.25">
      <c r="A17" s="225">
        <v>21341</v>
      </c>
      <c r="B17" s="225">
        <v>196.03399999999999</v>
      </c>
      <c r="C17" s="226" t="s">
        <v>883</v>
      </c>
      <c r="D17" s="225">
        <v>6</v>
      </c>
      <c r="E17" s="226" t="s">
        <v>884</v>
      </c>
      <c r="F17" s="226" t="s">
        <v>885</v>
      </c>
      <c r="G17" s="225">
        <v>595</v>
      </c>
      <c r="H17" s="225">
        <v>606</v>
      </c>
    </row>
    <row r="18" spans="1:8" x14ac:dyDescent="0.25">
      <c r="A18" s="225">
        <v>21342</v>
      </c>
      <c r="B18" s="225">
        <v>196.03399999999999</v>
      </c>
      <c r="C18" s="226" t="s">
        <v>883</v>
      </c>
      <c r="D18" s="225">
        <v>5</v>
      </c>
      <c r="E18" s="226" t="s">
        <v>884</v>
      </c>
      <c r="F18" s="226" t="s">
        <v>885</v>
      </c>
      <c r="G18" s="225">
        <v>651</v>
      </c>
      <c r="H18" s="225">
        <v>627</v>
      </c>
    </row>
    <row r="19" spans="1:8" x14ac:dyDescent="0.25">
      <c r="A19" s="225">
        <v>21343</v>
      </c>
      <c r="B19" s="225">
        <v>196.03399999999999</v>
      </c>
      <c r="C19" s="226" t="s">
        <v>883</v>
      </c>
      <c r="D19" s="225">
        <v>8</v>
      </c>
      <c r="E19" s="226" t="s">
        <v>884</v>
      </c>
      <c r="F19" s="226" t="s">
        <v>885</v>
      </c>
      <c r="G19" s="225">
        <v>626</v>
      </c>
      <c r="H19" s="225">
        <v>620</v>
      </c>
    </row>
    <row r="20" spans="1:8" x14ac:dyDescent="0.25">
      <c r="A20" s="225">
        <v>21345</v>
      </c>
      <c r="B20" s="225">
        <v>196.03399999999999</v>
      </c>
      <c r="C20" s="226" t="s">
        <v>883</v>
      </c>
      <c r="D20" s="225">
        <v>7</v>
      </c>
      <c r="E20" s="226" t="s">
        <v>884</v>
      </c>
      <c r="F20" s="226" t="s">
        <v>885</v>
      </c>
      <c r="G20" s="225">
        <v>647</v>
      </c>
      <c r="H20" s="225">
        <v>670</v>
      </c>
    </row>
    <row r="21" spans="1:8" x14ac:dyDescent="0.25">
      <c r="A21" s="225">
        <v>21346</v>
      </c>
      <c r="B21" s="225">
        <v>196.03399999999999</v>
      </c>
      <c r="C21" s="226" t="s">
        <v>883</v>
      </c>
      <c r="D21" s="225">
        <v>9</v>
      </c>
      <c r="E21" s="226" t="s">
        <v>884</v>
      </c>
      <c r="F21" s="226" t="s">
        <v>885</v>
      </c>
      <c r="G21" s="225">
        <v>511</v>
      </c>
      <c r="H21" s="225">
        <v>484</v>
      </c>
    </row>
    <row r="22" spans="1:8" x14ac:dyDescent="0.25">
      <c r="A22" s="225">
        <v>21347</v>
      </c>
      <c r="B22" s="225">
        <v>196.03399999999999</v>
      </c>
      <c r="C22" s="226" t="s">
        <v>883</v>
      </c>
      <c r="D22" s="225">
        <v>6</v>
      </c>
      <c r="E22" s="226" t="s">
        <v>884</v>
      </c>
      <c r="F22" s="226" t="s">
        <v>885</v>
      </c>
      <c r="G22" s="225">
        <v>600</v>
      </c>
      <c r="H22" s="225">
        <v>597</v>
      </c>
    </row>
    <row r="23" spans="1:8" x14ac:dyDescent="0.25">
      <c r="A23" s="225">
        <v>21369</v>
      </c>
      <c r="B23" s="225">
        <v>196.03399999999999</v>
      </c>
      <c r="C23" s="226" t="s">
        <v>883</v>
      </c>
      <c r="D23" s="225">
        <v>5</v>
      </c>
      <c r="E23" s="226" t="s">
        <v>884</v>
      </c>
      <c r="F23" s="226" t="s">
        <v>885</v>
      </c>
      <c r="G23" s="225">
        <v>165</v>
      </c>
      <c r="H23" s="225">
        <v>186</v>
      </c>
    </row>
    <row r="24" spans="1:8" x14ac:dyDescent="0.25">
      <c r="A24" s="225">
        <v>21397</v>
      </c>
      <c r="B24" s="225">
        <v>196.03399999999999</v>
      </c>
      <c r="C24" s="226" t="s">
        <v>883</v>
      </c>
      <c r="D24" s="225">
        <v>9</v>
      </c>
      <c r="E24" s="226" t="s">
        <v>884</v>
      </c>
      <c r="F24" s="226" t="s">
        <v>885</v>
      </c>
      <c r="G24" s="225">
        <v>671</v>
      </c>
      <c r="H24" s="225">
        <v>634</v>
      </c>
    </row>
    <row r="25" spans="1:8" x14ac:dyDescent="0.25">
      <c r="A25" s="225">
        <v>21400</v>
      </c>
      <c r="B25" s="225">
        <v>243.459</v>
      </c>
      <c r="C25" s="226" t="s">
        <v>883</v>
      </c>
      <c r="D25" s="225">
        <v>38</v>
      </c>
      <c r="E25" s="226" t="s">
        <v>884</v>
      </c>
      <c r="F25" s="226" t="s">
        <v>885</v>
      </c>
      <c r="G25" s="225">
        <v>747</v>
      </c>
      <c r="H25" s="225">
        <v>731</v>
      </c>
    </row>
    <row r="26" spans="1:8" x14ac:dyDescent="0.25">
      <c r="A26" s="225">
        <v>21405</v>
      </c>
      <c r="B26" s="225">
        <v>196.03399999999999</v>
      </c>
      <c r="C26" s="226" t="s">
        <v>883</v>
      </c>
      <c r="D26" s="225">
        <v>7</v>
      </c>
      <c r="E26" s="226" t="s">
        <v>884</v>
      </c>
      <c r="F26" s="226" t="s">
        <v>885</v>
      </c>
      <c r="G26" s="225">
        <v>5301</v>
      </c>
      <c r="H26" s="225">
        <v>190</v>
      </c>
    </row>
    <row r="27" spans="1:8" x14ac:dyDescent="0.25">
      <c r="A27" s="225">
        <v>21406</v>
      </c>
      <c r="B27" s="225">
        <v>196.03399999999999</v>
      </c>
      <c r="C27" s="226" t="s">
        <v>883</v>
      </c>
      <c r="D27" s="225">
        <v>13</v>
      </c>
      <c r="E27" s="226" t="s">
        <v>884</v>
      </c>
      <c r="F27" s="226" t="s">
        <v>885</v>
      </c>
      <c r="G27" s="225">
        <v>398</v>
      </c>
      <c r="H27" s="225">
        <v>424</v>
      </c>
    </row>
    <row r="28" spans="1:8" x14ac:dyDescent="0.25">
      <c r="A28" s="225">
        <v>21407</v>
      </c>
      <c r="B28" s="225">
        <v>196.03399999999999</v>
      </c>
      <c r="C28" s="226" t="s">
        <v>883</v>
      </c>
      <c r="D28" s="225">
        <v>9</v>
      </c>
      <c r="E28" s="226" t="s">
        <v>884</v>
      </c>
      <c r="F28" s="226" t="s">
        <v>885</v>
      </c>
      <c r="G28" s="225">
        <v>329</v>
      </c>
      <c r="H28" s="225">
        <v>338</v>
      </c>
    </row>
    <row r="29" spans="1:8" x14ac:dyDescent="0.25">
      <c r="A29" s="225">
        <v>21408</v>
      </c>
      <c r="B29" s="225">
        <v>196.03399999999999</v>
      </c>
      <c r="C29" s="226" t="s">
        <v>883</v>
      </c>
      <c r="D29" s="225">
        <v>14</v>
      </c>
      <c r="E29" s="226" t="s">
        <v>884</v>
      </c>
      <c r="F29" s="226" t="s">
        <v>885</v>
      </c>
      <c r="G29" s="225">
        <v>390</v>
      </c>
      <c r="H29" s="225">
        <v>437</v>
      </c>
    </row>
    <row r="30" spans="1:8" x14ac:dyDescent="0.25">
      <c r="A30" s="225">
        <v>21409</v>
      </c>
      <c r="B30" s="225">
        <v>196.03399999999999</v>
      </c>
      <c r="C30" s="226" t="s">
        <v>883</v>
      </c>
      <c r="D30" s="225">
        <v>10</v>
      </c>
      <c r="E30" s="226" t="s">
        <v>884</v>
      </c>
      <c r="F30" s="226" t="s">
        <v>885</v>
      </c>
      <c r="G30" s="225">
        <v>494</v>
      </c>
      <c r="H30" s="225">
        <v>492</v>
      </c>
    </row>
    <row r="31" spans="1:8" x14ac:dyDescent="0.25">
      <c r="A31" s="225">
        <v>21411</v>
      </c>
      <c r="B31" s="225">
        <v>196.03399999999999</v>
      </c>
      <c r="C31" s="226" t="s">
        <v>883</v>
      </c>
      <c r="D31" s="225">
        <v>15</v>
      </c>
      <c r="E31" s="226" t="s">
        <v>884</v>
      </c>
      <c r="F31" s="226" t="s">
        <v>885</v>
      </c>
      <c r="G31" s="225">
        <v>480</v>
      </c>
      <c r="H31" s="225">
        <v>480</v>
      </c>
    </row>
    <row r="32" spans="1:8" x14ac:dyDescent="0.25">
      <c r="A32" s="225">
        <v>21413</v>
      </c>
      <c r="B32" s="225">
        <v>196.03399999999999</v>
      </c>
      <c r="C32" s="226" t="s">
        <v>883</v>
      </c>
      <c r="D32" s="225">
        <v>15</v>
      </c>
      <c r="E32" s="226" t="s">
        <v>884</v>
      </c>
      <c r="F32" s="226" t="s">
        <v>885</v>
      </c>
      <c r="G32" s="225">
        <v>635</v>
      </c>
      <c r="H32" s="225">
        <v>633</v>
      </c>
    </row>
    <row r="33" spans="1:8" x14ac:dyDescent="0.25">
      <c r="A33" s="225">
        <v>21414</v>
      </c>
      <c r="B33" s="225">
        <v>196.03399999999999</v>
      </c>
      <c r="C33" s="226" t="s">
        <v>883</v>
      </c>
      <c r="D33" s="225">
        <v>5</v>
      </c>
      <c r="E33" s="226" t="s">
        <v>884</v>
      </c>
      <c r="F33" s="226" t="s">
        <v>885</v>
      </c>
      <c r="G33" s="225">
        <v>441</v>
      </c>
      <c r="H33" s="225">
        <v>448</v>
      </c>
    </row>
    <row r="34" spans="1:8" x14ac:dyDescent="0.25">
      <c r="A34" s="225">
        <v>21415</v>
      </c>
      <c r="B34" s="225">
        <v>196.03399999999999</v>
      </c>
      <c r="C34" s="226" t="s">
        <v>883</v>
      </c>
      <c r="D34" s="225">
        <v>7</v>
      </c>
      <c r="E34" s="226" t="s">
        <v>884</v>
      </c>
      <c r="F34" s="226" t="s">
        <v>885</v>
      </c>
      <c r="G34" s="225">
        <v>779</v>
      </c>
      <c r="H34" s="225">
        <v>761</v>
      </c>
    </row>
    <row r="35" spans="1:8" x14ac:dyDescent="0.25">
      <c r="A35" s="225">
        <v>21416</v>
      </c>
      <c r="B35" s="225">
        <v>196.03399999999999</v>
      </c>
      <c r="C35" s="226" t="s">
        <v>883</v>
      </c>
      <c r="D35" s="225">
        <v>6</v>
      </c>
      <c r="E35" s="226" t="s">
        <v>884</v>
      </c>
      <c r="F35" s="226" t="s">
        <v>885</v>
      </c>
      <c r="G35" s="225">
        <v>556</v>
      </c>
      <c r="H35" s="225">
        <v>570</v>
      </c>
    </row>
    <row r="36" spans="1:8" x14ac:dyDescent="0.25">
      <c r="A36" s="225">
        <v>21418</v>
      </c>
      <c r="B36" s="225">
        <v>196.03399999999999</v>
      </c>
      <c r="C36" s="226" t="s">
        <v>883</v>
      </c>
      <c r="D36" s="225">
        <v>21</v>
      </c>
      <c r="E36" s="226" t="s">
        <v>884</v>
      </c>
      <c r="F36" s="226" t="s">
        <v>885</v>
      </c>
      <c r="G36" s="225">
        <v>433</v>
      </c>
      <c r="H36" s="225">
        <v>426</v>
      </c>
    </row>
    <row r="37" spans="1:8" x14ac:dyDescent="0.25">
      <c r="A37" s="225">
        <v>21419</v>
      </c>
      <c r="B37" s="225">
        <v>196.03399999999999</v>
      </c>
      <c r="C37" s="226" t="s">
        <v>883</v>
      </c>
      <c r="D37" s="225">
        <v>4</v>
      </c>
      <c r="E37" s="226" t="s">
        <v>884</v>
      </c>
      <c r="F37" s="226" t="s">
        <v>885</v>
      </c>
      <c r="G37" s="225">
        <v>671</v>
      </c>
      <c r="H37" s="225">
        <v>683</v>
      </c>
    </row>
    <row r="38" spans="1:8" x14ac:dyDescent="0.25">
      <c r="A38" s="225">
        <v>21420</v>
      </c>
      <c r="B38" s="225">
        <v>196.03399999999999</v>
      </c>
      <c r="C38" s="226" t="s">
        <v>883</v>
      </c>
      <c r="D38" s="225">
        <v>5</v>
      </c>
      <c r="E38" s="226" t="s">
        <v>884</v>
      </c>
      <c r="F38" s="226" t="s">
        <v>885</v>
      </c>
      <c r="G38" s="225">
        <v>596</v>
      </c>
      <c r="H38" s="225">
        <v>573</v>
      </c>
    </row>
    <row r="39" spans="1:8" x14ac:dyDescent="0.25">
      <c r="A39" s="225">
        <v>21422</v>
      </c>
      <c r="B39" s="225">
        <v>196.03399999999999</v>
      </c>
      <c r="C39" s="226" t="s">
        <v>883</v>
      </c>
      <c r="D39" s="225">
        <v>7</v>
      </c>
      <c r="E39" s="226" t="s">
        <v>884</v>
      </c>
      <c r="F39" s="226" t="s">
        <v>885</v>
      </c>
      <c r="G39" s="225">
        <v>419</v>
      </c>
      <c r="H39" s="225">
        <v>405</v>
      </c>
    </row>
    <row r="40" spans="1:8" x14ac:dyDescent="0.25">
      <c r="A40" s="225">
        <v>21423</v>
      </c>
      <c r="B40" s="225">
        <v>196.03399999999999</v>
      </c>
      <c r="C40" s="226" t="s">
        <v>883</v>
      </c>
      <c r="D40" s="225">
        <v>6</v>
      </c>
      <c r="E40" s="226" t="s">
        <v>884</v>
      </c>
      <c r="F40" s="226" t="s">
        <v>885</v>
      </c>
      <c r="G40" s="225">
        <v>710</v>
      </c>
      <c r="H40" s="225">
        <v>730</v>
      </c>
    </row>
    <row r="41" spans="1:8" x14ac:dyDescent="0.25">
      <c r="A41" s="225">
        <v>21424</v>
      </c>
      <c r="B41" s="225">
        <v>196.03399999999999</v>
      </c>
      <c r="C41" s="226" t="s">
        <v>883</v>
      </c>
      <c r="D41" s="225">
        <v>6</v>
      </c>
      <c r="E41" s="226" t="s">
        <v>884</v>
      </c>
      <c r="F41" s="226" t="s">
        <v>885</v>
      </c>
      <c r="G41" s="225">
        <v>617</v>
      </c>
      <c r="H41" s="225">
        <v>603</v>
      </c>
    </row>
    <row r="42" spans="1:8" x14ac:dyDescent="0.25">
      <c r="A42" s="225">
        <v>21425</v>
      </c>
      <c r="B42" s="225">
        <v>196.03399999999999</v>
      </c>
      <c r="C42" s="226" t="s">
        <v>883</v>
      </c>
      <c r="D42" s="225">
        <v>7</v>
      </c>
      <c r="E42" s="226" t="s">
        <v>884</v>
      </c>
      <c r="F42" s="226" t="s">
        <v>885</v>
      </c>
      <c r="G42" s="225">
        <v>765</v>
      </c>
      <c r="H42" s="225">
        <v>769</v>
      </c>
    </row>
    <row r="43" spans="1:8" x14ac:dyDescent="0.25">
      <c r="A43" s="225">
        <v>21428</v>
      </c>
      <c r="B43" s="225">
        <v>196.03399999999999</v>
      </c>
      <c r="C43" s="226" t="s">
        <v>883</v>
      </c>
      <c r="D43" s="225">
        <v>7</v>
      </c>
      <c r="E43" s="226" t="s">
        <v>884</v>
      </c>
      <c r="F43" s="226" t="s">
        <v>885</v>
      </c>
      <c r="G43" s="225">
        <v>445</v>
      </c>
      <c r="H43" s="225">
        <v>431</v>
      </c>
    </row>
    <row r="44" spans="1:8" x14ac:dyDescent="0.25">
      <c r="A44" s="225">
        <v>21429</v>
      </c>
      <c r="B44" s="225">
        <v>196.03399999999999</v>
      </c>
      <c r="C44" s="226" t="s">
        <v>883</v>
      </c>
      <c r="D44" s="225">
        <v>8</v>
      </c>
      <c r="E44" s="226" t="s">
        <v>884</v>
      </c>
      <c r="F44" s="226" t="s">
        <v>885</v>
      </c>
      <c r="G44" s="225">
        <v>739</v>
      </c>
      <c r="H44" s="225">
        <v>749</v>
      </c>
    </row>
    <row r="45" spans="1:8" x14ac:dyDescent="0.25">
      <c r="A45" s="225">
        <v>21430</v>
      </c>
      <c r="B45" s="225">
        <v>196.03399999999999</v>
      </c>
      <c r="C45" s="226" t="s">
        <v>883</v>
      </c>
      <c r="D45" s="225">
        <v>7</v>
      </c>
      <c r="E45" s="226" t="s">
        <v>884</v>
      </c>
      <c r="F45" s="226" t="s">
        <v>885</v>
      </c>
      <c r="G45" s="225">
        <v>677</v>
      </c>
      <c r="H45" s="225">
        <v>669</v>
      </c>
    </row>
    <row r="46" spans="1:8" x14ac:dyDescent="0.25">
      <c r="A46" s="225">
        <v>21431</v>
      </c>
      <c r="B46" s="225">
        <v>196.03399999999999</v>
      </c>
      <c r="C46" s="226" t="s">
        <v>883</v>
      </c>
      <c r="D46" s="225">
        <v>6</v>
      </c>
      <c r="E46" s="226" t="s">
        <v>884</v>
      </c>
      <c r="F46" s="226" t="s">
        <v>885</v>
      </c>
      <c r="G46" s="225">
        <v>567</v>
      </c>
      <c r="H46" s="225">
        <v>544</v>
      </c>
    </row>
    <row r="47" spans="1:8" x14ac:dyDescent="0.25">
      <c r="A47" s="225">
        <v>21432</v>
      </c>
      <c r="B47" s="225">
        <v>196.03399999999999</v>
      </c>
      <c r="C47" s="226" t="s">
        <v>883</v>
      </c>
      <c r="D47" s="225">
        <v>6</v>
      </c>
      <c r="E47" s="226" t="s">
        <v>884</v>
      </c>
      <c r="F47" s="226" t="s">
        <v>885</v>
      </c>
      <c r="G47" s="225">
        <v>642</v>
      </c>
      <c r="H47" s="225">
        <v>632</v>
      </c>
    </row>
    <row r="48" spans="1:8" x14ac:dyDescent="0.25">
      <c r="A48" s="225">
        <v>21433</v>
      </c>
      <c r="B48" s="225">
        <v>196.03399999999999</v>
      </c>
      <c r="C48" s="226" t="s">
        <v>883</v>
      </c>
      <c r="D48" s="225">
        <v>7</v>
      </c>
      <c r="E48" s="226" t="s">
        <v>884</v>
      </c>
      <c r="F48" s="226" t="s">
        <v>885</v>
      </c>
      <c r="G48" s="225">
        <v>655</v>
      </c>
      <c r="H48" s="225">
        <v>628</v>
      </c>
    </row>
    <row r="49" spans="1:23" x14ac:dyDescent="0.25">
      <c r="A49" s="225">
        <v>21434</v>
      </c>
      <c r="B49" s="225">
        <v>196.03399999999999</v>
      </c>
      <c r="C49" s="226" t="s">
        <v>883</v>
      </c>
      <c r="D49" s="225">
        <v>9</v>
      </c>
      <c r="E49" s="226" t="s">
        <v>884</v>
      </c>
      <c r="F49" s="226" t="s">
        <v>885</v>
      </c>
      <c r="G49" s="225">
        <v>778</v>
      </c>
      <c r="H49" s="225">
        <v>795</v>
      </c>
    </row>
    <row r="50" spans="1:23" x14ac:dyDescent="0.25">
      <c r="A50" s="225">
        <v>21435</v>
      </c>
      <c r="B50" s="225">
        <v>196.03399999999999</v>
      </c>
      <c r="C50" s="226" t="s">
        <v>883</v>
      </c>
      <c r="D50" s="225">
        <v>6</v>
      </c>
      <c r="E50" s="226" t="s">
        <v>884</v>
      </c>
      <c r="F50" s="226" t="s">
        <v>885</v>
      </c>
      <c r="G50" s="225">
        <v>521</v>
      </c>
      <c r="H50" s="225">
        <v>500</v>
      </c>
    </row>
    <row r="51" spans="1:23" x14ac:dyDescent="0.25">
      <c r="A51" s="225">
        <v>21436</v>
      </c>
      <c r="B51" s="225">
        <v>196.03399999999999</v>
      </c>
      <c r="C51" s="226" t="s">
        <v>883</v>
      </c>
      <c r="D51" s="225">
        <v>11</v>
      </c>
      <c r="E51" s="226" t="s">
        <v>884</v>
      </c>
      <c r="F51" s="226" t="s">
        <v>885</v>
      </c>
      <c r="G51" s="225">
        <v>768</v>
      </c>
      <c r="H51" s="225">
        <v>751</v>
      </c>
    </row>
    <row r="52" spans="1:23" x14ac:dyDescent="0.25">
      <c r="A52" s="225">
        <v>21437</v>
      </c>
      <c r="B52" s="225">
        <v>196.03399999999999</v>
      </c>
      <c r="C52" s="226" t="s">
        <v>883</v>
      </c>
      <c r="D52" s="225">
        <v>5</v>
      </c>
      <c r="E52" s="226" t="s">
        <v>884</v>
      </c>
      <c r="F52" s="226" t="s">
        <v>885</v>
      </c>
      <c r="G52" s="225">
        <v>706</v>
      </c>
      <c r="H52" s="225">
        <v>682</v>
      </c>
    </row>
    <row r="53" spans="1:23" x14ac:dyDescent="0.25">
      <c r="A53" s="225">
        <v>21438</v>
      </c>
      <c r="B53" s="225">
        <v>196.03399999999999</v>
      </c>
      <c r="C53" s="226" t="s">
        <v>883</v>
      </c>
      <c r="D53" s="225">
        <v>8</v>
      </c>
      <c r="E53" s="226" t="s">
        <v>884</v>
      </c>
      <c r="F53" s="226" t="s">
        <v>885</v>
      </c>
      <c r="G53" s="225">
        <v>670</v>
      </c>
      <c r="H53" s="225">
        <v>646</v>
      </c>
    </row>
    <row r="54" spans="1:23" x14ac:dyDescent="0.25">
      <c r="A54" s="225">
        <v>21439</v>
      </c>
      <c r="B54" s="225">
        <v>196.03399999999999</v>
      </c>
      <c r="C54" s="226" t="s">
        <v>883</v>
      </c>
      <c r="D54" s="225">
        <v>6</v>
      </c>
      <c r="E54" s="226" t="s">
        <v>884</v>
      </c>
      <c r="F54" s="226" t="s">
        <v>885</v>
      </c>
      <c r="G54" s="225">
        <v>555</v>
      </c>
      <c r="H54" s="225">
        <v>565</v>
      </c>
    </row>
    <row r="55" spans="1:23" x14ac:dyDescent="0.25">
      <c r="A55" s="225">
        <v>21440</v>
      </c>
      <c r="B55" s="225">
        <v>196.03399999999999</v>
      </c>
      <c r="C55" s="226" t="s">
        <v>883</v>
      </c>
      <c r="D55" s="225">
        <v>5</v>
      </c>
      <c r="E55" s="226" t="s">
        <v>884</v>
      </c>
      <c r="F55" s="226" t="s">
        <v>885</v>
      </c>
      <c r="G55" s="225">
        <v>624</v>
      </c>
      <c r="H55" s="225">
        <v>627</v>
      </c>
    </row>
    <row r="56" spans="1:23" x14ac:dyDescent="0.25">
      <c r="A56" s="225">
        <v>21441</v>
      </c>
      <c r="B56" s="225">
        <v>196.03399999999999</v>
      </c>
      <c r="C56" s="226" t="s">
        <v>886</v>
      </c>
      <c r="D56" s="225">
        <v>5</v>
      </c>
      <c r="E56" s="226" t="s">
        <v>884</v>
      </c>
      <c r="F56" s="226" t="s">
        <v>885</v>
      </c>
      <c r="G56" s="225">
        <v>522</v>
      </c>
      <c r="H56" s="225">
        <v>493</v>
      </c>
    </row>
    <row r="57" spans="1:23" x14ac:dyDescent="0.25">
      <c r="A57" s="225">
        <v>21442</v>
      </c>
      <c r="B57" s="225">
        <v>196.03399999999999</v>
      </c>
      <c r="C57" s="226" t="s">
        <v>883</v>
      </c>
      <c r="D57" s="225">
        <v>7</v>
      </c>
      <c r="E57" s="226" t="s">
        <v>884</v>
      </c>
      <c r="F57" s="226" t="s">
        <v>885</v>
      </c>
      <c r="G57" s="225">
        <v>572</v>
      </c>
      <c r="H57" s="225">
        <v>591</v>
      </c>
    </row>
    <row r="58" spans="1:23" x14ac:dyDescent="0.25">
      <c r="A58" s="225">
        <v>21443</v>
      </c>
      <c r="B58" s="225">
        <v>196.03399999999999</v>
      </c>
      <c r="C58" s="226" t="s">
        <v>883</v>
      </c>
      <c r="D58" s="225">
        <v>8</v>
      </c>
      <c r="E58" s="226" t="s">
        <v>884</v>
      </c>
      <c r="F58" s="226" t="s">
        <v>885</v>
      </c>
      <c r="G58" s="225">
        <v>897</v>
      </c>
      <c r="H58" s="225">
        <v>880</v>
      </c>
    </row>
    <row r="59" spans="1:23" x14ac:dyDescent="0.25">
      <c r="G59">
        <f>SUM(G5:G58)</f>
        <v>34662</v>
      </c>
    </row>
    <row r="60" spans="1:23" x14ac:dyDescent="0.25">
      <c r="G60">
        <f>+G59/54/60</f>
        <v>10.698148148148148</v>
      </c>
    </row>
    <row r="63" spans="1:23" x14ac:dyDescent="0.25">
      <c r="A63" s="227" t="s">
        <v>887</v>
      </c>
      <c r="B63" s="227" t="s">
        <v>888</v>
      </c>
      <c r="C63" s="227" t="s">
        <v>889</v>
      </c>
      <c r="D63" s="227" t="s">
        <v>890</v>
      </c>
      <c r="E63" s="227" t="s">
        <v>891</v>
      </c>
      <c r="F63" s="227" t="s">
        <v>892</v>
      </c>
      <c r="G63" s="227" t="s">
        <v>893</v>
      </c>
      <c r="H63" s="227" t="s">
        <v>894</v>
      </c>
      <c r="I63" s="227" t="s">
        <v>895</v>
      </c>
      <c r="J63" s="227" t="s">
        <v>896</v>
      </c>
      <c r="K63" s="227" t="s">
        <v>897</v>
      </c>
      <c r="L63" s="227" t="s">
        <v>898</v>
      </c>
      <c r="M63" s="227" t="s">
        <v>899</v>
      </c>
      <c r="N63" s="227" t="s">
        <v>900</v>
      </c>
      <c r="O63" s="227" t="s">
        <v>901</v>
      </c>
      <c r="P63" s="227" t="s">
        <v>902</v>
      </c>
      <c r="Q63" s="227" t="s">
        <v>903</v>
      </c>
      <c r="R63" s="227" t="s">
        <v>904</v>
      </c>
      <c r="S63" s="227" t="s">
        <v>905</v>
      </c>
      <c r="T63" s="227" t="s">
        <v>906</v>
      </c>
      <c r="U63" s="227" t="s">
        <v>907</v>
      </c>
      <c r="V63" s="227" t="s">
        <v>908</v>
      </c>
      <c r="W63" s="227" t="s">
        <v>909</v>
      </c>
    </row>
    <row r="64" spans="1:23" x14ac:dyDescent="0.25">
      <c r="A64" s="228" t="s">
        <v>884</v>
      </c>
      <c r="B64" s="228" t="s">
        <v>910</v>
      </c>
      <c r="C64" s="229">
        <v>2013</v>
      </c>
      <c r="D64" s="229">
        <v>1</v>
      </c>
      <c r="E64" s="229">
        <v>5</v>
      </c>
      <c r="F64" s="229">
        <v>0</v>
      </c>
      <c r="G64" s="229">
        <v>5</v>
      </c>
      <c r="H64" s="229">
        <v>37</v>
      </c>
      <c r="I64" s="229">
        <v>0</v>
      </c>
      <c r="J64" s="229">
        <v>37</v>
      </c>
      <c r="K64" s="229">
        <v>5</v>
      </c>
      <c r="L64" s="229">
        <v>0</v>
      </c>
      <c r="M64" s="229">
        <v>0</v>
      </c>
      <c r="N64" s="230">
        <v>26.134027777777778</v>
      </c>
      <c r="O64" s="230">
        <v>0</v>
      </c>
      <c r="P64" s="230">
        <v>26.134027777777778</v>
      </c>
      <c r="Q64" s="229">
        <v>0</v>
      </c>
      <c r="R64" s="229">
        <v>25</v>
      </c>
      <c r="S64" s="228" t="s">
        <v>238</v>
      </c>
      <c r="T64" s="228" t="s">
        <v>885</v>
      </c>
      <c r="U64" s="229">
        <v>0</v>
      </c>
      <c r="V64" s="229">
        <v>0</v>
      </c>
      <c r="W64" s="229">
        <v>0</v>
      </c>
    </row>
    <row r="65" spans="1:23" x14ac:dyDescent="0.25">
      <c r="A65" s="228" t="s">
        <v>884</v>
      </c>
      <c r="B65" s="228" t="s">
        <v>911</v>
      </c>
      <c r="C65" s="229">
        <v>2013</v>
      </c>
      <c r="D65" s="229">
        <v>2</v>
      </c>
      <c r="E65" s="229">
        <v>3</v>
      </c>
      <c r="F65" s="229">
        <v>0</v>
      </c>
      <c r="G65" s="229">
        <v>3</v>
      </c>
      <c r="H65" s="229">
        <v>21</v>
      </c>
      <c r="I65" s="229">
        <v>0</v>
      </c>
      <c r="J65" s="229">
        <v>21</v>
      </c>
      <c r="K65" s="229">
        <v>3</v>
      </c>
      <c r="L65" s="229">
        <v>0</v>
      </c>
      <c r="M65" s="229">
        <v>0</v>
      </c>
      <c r="N65" s="230">
        <v>5.5256944444444445</v>
      </c>
      <c r="O65" s="230">
        <v>0</v>
      </c>
      <c r="P65" s="230">
        <v>5.5256944444444445</v>
      </c>
      <c r="Q65" s="229">
        <v>0</v>
      </c>
      <c r="R65" s="229">
        <v>5</v>
      </c>
      <c r="S65" s="228" t="s">
        <v>238</v>
      </c>
      <c r="T65" s="228" t="s">
        <v>885</v>
      </c>
      <c r="U65" s="229">
        <v>0</v>
      </c>
      <c r="V65" s="229">
        <v>0</v>
      </c>
      <c r="W65" s="229">
        <v>0</v>
      </c>
    </row>
    <row r="66" spans="1:23" x14ac:dyDescent="0.25">
      <c r="A66" s="228" t="s">
        <v>884</v>
      </c>
      <c r="B66" s="228" t="s">
        <v>912</v>
      </c>
      <c r="C66" s="229">
        <v>2013</v>
      </c>
      <c r="D66" s="229">
        <v>3</v>
      </c>
      <c r="E66" s="229">
        <v>1</v>
      </c>
      <c r="F66" s="229">
        <v>0</v>
      </c>
      <c r="G66" s="229">
        <v>1</v>
      </c>
      <c r="H66" s="229">
        <v>13</v>
      </c>
      <c r="I66" s="229">
        <v>0</v>
      </c>
      <c r="J66" s="229">
        <v>13</v>
      </c>
      <c r="K66" s="229">
        <v>1</v>
      </c>
      <c r="L66" s="229">
        <v>0</v>
      </c>
      <c r="M66" s="229">
        <v>0</v>
      </c>
      <c r="N66" s="230">
        <v>6.9444444444444447E-4</v>
      </c>
      <c r="O66" s="230">
        <v>0</v>
      </c>
      <c r="P66" s="230">
        <v>6.9444444444444447E-4</v>
      </c>
      <c r="Q66" s="229">
        <v>0</v>
      </c>
      <c r="R66" s="229">
        <v>0</v>
      </c>
      <c r="S66" s="228" t="s">
        <v>238</v>
      </c>
      <c r="T66" s="228" t="s">
        <v>885</v>
      </c>
      <c r="U66" s="229">
        <v>0</v>
      </c>
      <c r="V66" s="229">
        <v>0</v>
      </c>
      <c r="W66" s="229">
        <v>0</v>
      </c>
    </row>
    <row r="67" spans="1:23" x14ac:dyDescent="0.25">
      <c r="A67" s="228" t="s">
        <v>884</v>
      </c>
      <c r="B67" s="228" t="s">
        <v>913</v>
      </c>
      <c r="C67" s="229">
        <v>2013</v>
      </c>
      <c r="D67" s="229">
        <v>4</v>
      </c>
      <c r="E67" s="229">
        <v>5</v>
      </c>
      <c r="F67" s="229">
        <v>0</v>
      </c>
      <c r="G67" s="229">
        <v>5</v>
      </c>
      <c r="H67" s="229">
        <v>35</v>
      </c>
      <c r="I67" s="229">
        <v>0</v>
      </c>
      <c r="J67" s="229">
        <v>35</v>
      </c>
      <c r="K67" s="229">
        <v>5</v>
      </c>
      <c r="L67" s="229">
        <v>0</v>
      </c>
      <c r="M67" s="229">
        <v>0</v>
      </c>
      <c r="N67" s="230">
        <v>32.311805555555559</v>
      </c>
      <c r="O67" s="230">
        <v>0</v>
      </c>
      <c r="P67" s="230">
        <v>32.311805555555559</v>
      </c>
      <c r="Q67" s="229">
        <v>0</v>
      </c>
      <c r="R67" s="229">
        <v>31</v>
      </c>
      <c r="S67" s="228" t="s">
        <v>238</v>
      </c>
      <c r="T67" s="228" t="s">
        <v>885</v>
      </c>
      <c r="U67" s="229">
        <v>0</v>
      </c>
      <c r="V67" s="229">
        <v>0</v>
      </c>
      <c r="W67" s="229">
        <v>0</v>
      </c>
    </row>
    <row r="68" spans="1:23" x14ac:dyDescent="0.25">
      <c r="A68" s="228" t="s">
        <v>884</v>
      </c>
      <c r="B68" s="228" t="s">
        <v>914</v>
      </c>
      <c r="C68" s="229">
        <v>2013</v>
      </c>
      <c r="D68" s="229">
        <v>5</v>
      </c>
      <c r="E68" s="229">
        <v>5</v>
      </c>
      <c r="F68" s="229">
        <v>0</v>
      </c>
      <c r="G68" s="229">
        <v>5</v>
      </c>
      <c r="H68" s="229">
        <v>39</v>
      </c>
      <c r="I68" s="229">
        <v>0</v>
      </c>
      <c r="J68" s="229">
        <v>39</v>
      </c>
      <c r="K68" s="229">
        <v>5</v>
      </c>
      <c r="L68" s="229">
        <v>0</v>
      </c>
      <c r="M68" s="229">
        <v>0</v>
      </c>
      <c r="N68" s="230">
        <v>24.904166666666665</v>
      </c>
      <c r="O68" s="230">
        <v>0</v>
      </c>
      <c r="P68" s="230">
        <v>24.904166666666665</v>
      </c>
      <c r="Q68" s="229">
        <v>0</v>
      </c>
      <c r="R68" s="229">
        <v>24</v>
      </c>
      <c r="S68" s="228" t="s">
        <v>238</v>
      </c>
      <c r="T68" s="228" t="s">
        <v>885</v>
      </c>
      <c r="U68" s="229">
        <v>0</v>
      </c>
      <c r="V68" s="229">
        <v>0</v>
      </c>
      <c r="W68" s="229">
        <v>0</v>
      </c>
    </row>
    <row r="69" spans="1:23" x14ac:dyDescent="0.25">
      <c r="A69" s="228" t="s">
        <v>884</v>
      </c>
      <c r="B69" s="228" t="s">
        <v>915</v>
      </c>
      <c r="C69" s="229">
        <v>2013</v>
      </c>
      <c r="D69" s="229">
        <v>6</v>
      </c>
      <c r="E69" s="229">
        <v>5</v>
      </c>
      <c r="F69" s="229">
        <v>0</v>
      </c>
      <c r="G69" s="229">
        <v>5</v>
      </c>
      <c r="H69" s="229">
        <v>38</v>
      </c>
      <c r="I69" s="229">
        <v>0</v>
      </c>
      <c r="J69" s="229">
        <v>38</v>
      </c>
      <c r="K69" s="229">
        <v>5</v>
      </c>
      <c r="L69" s="229">
        <v>0</v>
      </c>
      <c r="M69" s="229">
        <v>0</v>
      </c>
      <c r="N69" s="230">
        <v>29.252777777777776</v>
      </c>
      <c r="O69" s="230">
        <v>0</v>
      </c>
      <c r="P69" s="230">
        <v>29.252777777777776</v>
      </c>
      <c r="Q69" s="229">
        <v>0</v>
      </c>
      <c r="R69" s="229">
        <v>28</v>
      </c>
      <c r="S69" s="228" t="s">
        <v>238</v>
      </c>
      <c r="T69" s="228" t="s">
        <v>885</v>
      </c>
      <c r="U69" s="229">
        <v>0</v>
      </c>
      <c r="V69" s="229">
        <v>0</v>
      </c>
      <c r="W69" s="229">
        <v>0</v>
      </c>
    </row>
    <row r="70" spans="1:23" x14ac:dyDescent="0.25">
      <c r="A70" s="228" t="s">
        <v>884</v>
      </c>
      <c r="B70" s="228" t="s">
        <v>916</v>
      </c>
      <c r="C70" s="229">
        <v>2013</v>
      </c>
      <c r="D70" s="229">
        <v>7</v>
      </c>
      <c r="E70" s="229">
        <v>4</v>
      </c>
      <c r="F70" s="229">
        <v>0</v>
      </c>
      <c r="G70" s="229">
        <v>4</v>
      </c>
      <c r="H70" s="229">
        <v>43</v>
      </c>
      <c r="I70" s="229">
        <v>0</v>
      </c>
      <c r="J70" s="229">
        <v>43</v>
      </c>
      <c r="K70" s="229">
        <v>4</v>
      </c>
      <c r="L70" s="229">
        <v>0</v>
      </c>
      <c r="M70" s="229">
        <v>0</v>
      </c>
      <c r="N70" s="230">
        <v>19.572222222222223</v>
      </c>
      <c r="O70" s="230">
        <v>0</v>
      </c>
      <c r="P70" s="230">
        <v>19.572222222222223</v>
      </c>
      <c r="Q70" s="229">
        <v>0</v>
      </c>
      <c r="R70" s="229">
        <v>19</v>
      </c>
      <c r="S70" s="228" t="s">
        <v>238</v>
      </c>
      <c r="T70" s="228" t="s">
        <v>885</v>
      </c>
      <c r="U70" s="229">
        <v>0</v>
      </c>
      <c r="V70" s="229">
        <v>0</v>
      </c>
      <c r="W70" s="229">
        <v>0</v>
      </c>
    </row>
    <row r="71" spans="1:23" x14ac:dyDescent="0.25">
      <c r="A71" s="228" t="s">
        <v>884</v>
      </c>
      <c r="B71" s="228" t="s">
        <v>917</v>
      </c>
      <c r="C71" s="229">
        <v>2013</v>
      </c>
      <c r="D71" s="229">
        <v>8</v>
      </c>
      <c r="E71" s="229">
        <v>4</v>
      </c>
      <c r="F71" s="229">
        <v>0</v>
      </c>
      <c r="G71" s="229">
        <v>4</v>
      </c>
      <c r="H71" s="229">
        <v>27</v>
      </c>
      <c r="I71" s="229">
        <v>0</v>
      </c>
      <c r="J71" s="229">
        <v>27</v>
      </c>
      <c r="K71" s="229">
        <v>4</v>
      </c>
      <c r="L71" s="229">
        <v>0</v>
      </c>
      <c r="M71" s="229">
        <v>0</v>
      </c>
      <c r="N71" s="230">
        <v>11.651388888888889</v>
      </c>
      <c r="O71" s="230">
        <v>0</v>
      </c>
      <c r="P71" s="230">
        <v>11.651388888888889</v>
      </c>
      <c r="Q71" s="229">
        <v>0</v>
      </c>
      <c r="R71" s="229">
        <v>11</v>
      </c>
      <c r="S71" s="228" t="s">
        <v>238</v>
      </c>
      <c r="T71" s="228" t="s">
        <v>885</v>
      </c>
      <c r="U71" s="229">
        <v>0</v>
      </c>
      <c r="V71" s="229">
        <v>0</v>
      </c>
      <c r="W71" s="229">
        <v>0</v>
      </c>
    </row>
    <row r="72" spans="1:23" x14ac:dyDescent="0.25">
      <c r="A72" s="228" t="s">
        <v>884</v>
      </c>
      <c r="B72" s="228" t="s">
        <v>918</v>
      </c>
      <c r="C72" s="229">
        <v>2013</v>
      </c>
      <c r="D72" s="229">
        <v>9</v>
      </c>
      <c r="E72" s="229">
        <v>5</v>
      </c>
      <c r="F72" s="229">
        <v>1</v>
      </c>
      <c r="G72" s="229">
        <v>4</v>
      </c>
      <c r="H72" s="229">
        <v>63</v>
      </c>
      <c r="I72" s="229">
        <v>38</v>
      </c>
      <c r="J72" s="229">
        <v>25</v>
      </c>
      <c r="K72" s="229">
        <v>5</v>
      </c>
      <c r="L72" s="229">
        <v>0</v>
      </c>
      <c r="M72" s="229">
        <v>0</v>
      </c>
      <c r="N72" s="230">
        <v>22.140972222222224</v>
      </c>
      <c r="O72" s="230">
        <v>38.111111111111114</v>
      </c>
      <c r="P72" s="230">
        <v>60.252083333333339</v>
      </c>
      <c r="Q72" s="229">
        <v>0</v>
      </c>
      <c r="R72" s="229">
        <v>59</v>
      </c>
      <c r="S72" s="228" t="s">
        <v>238</v>
      </c>
      <c r="T72" s="228" t="s">
        <v>885</v>
      </c>
      <c r="U72" s="229">
        <v>0</v>
      </c>
      <c r="V72" s="229">
        <v>0</v>
      </c>
      <c r="W72" s="229">
        <v>0</v>
      </c>
    </row>
    <row r="73" spans="1:23" x14ac:dyDescent="0.25">
      <c r="A73" s="228" t="s">
        <v>884</v>
      </c>
      <c r="B73" s="228" t="s">
        <v>919</v>
      </c>
      <c r="C73" s="229">
        <v>2013</v>
      </c>
      <c r="D73" s="229">
        <v>10</v>
      </c>
      <c r="E73" s="229">
        <v>5</v>
      </c>
      <c r="F73" s="229">
        <v>0</v>
      </c>
      <c r="G73" s="229">
        <v>5</v>
      </c>
      <c r="H73" s="229">
        <v>33</v>
      </c>
      <c r="I73" s="229">
        <v>0</v>
      </c>
      <c r="J73" s="229">
        <v>33</v>
      </c>
      <c r="K73" s="229">
        <v>5</v>
      </c>
      <c r="L73" s="229">
        <v>0</v>
      </c>
      <c r="M73" s="229">
        <v>0</v>
      </c>
      <c r="N73" s="230">
        <v>29.420138888888889</v>
      </c>
      <c r="O73" s="230">
        <v>0</v>
      </c>
      <c r="P73" s="230">
        <v>29.420138888888889</v>
      </c>
      <c r="Q73" s="229">
        <v>0</v>
      </c>
      <c r="R73" s="229">
        <v>28</v>
      </c>
      <c r="S73" s="228" t="s">
        <v>238</v>
      </c>
      <c r="T73" s="228" t="s">
        <v>885</v>
      </c>
      <c r="U73" s="229">
        <v>0</v>
      </c>
      <c r="V73" s="229">
        <v>0</v>
      </c>
      <c r="W73" s="229">
        <v>0</v>
      </c>
    </row>
    <row r="74" spans="1:23" x14ac:dyDescent="0.25">
      <c r="A74" s="228" t="s">
        <v>884</v>
      </c>
      <c r="B74" s="228" t="s">
        <v>920</v>
      </c>
      <c r="C74" s="229">
        <v>2013</v>
      </c>
      <c r="D74" s="229">
        <v>11</v>
      </c>
      <c r="E74" s="229">
        <v>8</v>
      </c>
      <c r="F74" s="229">
        <v>0</v>
      </c>
      <c r="G74" s="229">
        <v>8</v>
      </c>
      <c r="H74" s="229">
        <v>64</v>
      </c>
      <c r="I74" s="229">
        <v>0</v>
      </c>
      <c r="J74" s="229">
        <v>64</v>
      </c>
      <c r="K74" s="229">
        <v>8</v>
      </c>
      <c r="L74" s="229">
        <v>0</v>
      </c>
      <c r="M74" s="229">
        <v>0</v>
      </c>
      <c r="N74" s="230">
        <v>43.979861111111113</v>
      </c>
      <c r="O74" s="230">
        <v>0</v>
      </c>
      <c r="P74" s="230">
        <v>43.979861111111113</v>
      </c>
      <c r="Q74" s="229">
        <v>0</v>
      </c>
      <c r="R74" s="229">
        <v>42</v>
      </c>
      <c r="S74" s="228" t="s">
        <v>238</v>
      </c>
      <c r="T74" s="228" t="s">
        <v>885</v>
      </c>
      <c r="U74" s="229">
        <v>0</v>
      </c>
      <c r="V74" s="229">
        <v>0</v>
      </c>
      <c r="W74" s="229">
        <v>0</v>
      </c>
    </row>
    <row r="75" spans="1:23" x14ac:dyDescent="0.25">
      <c r="A75" s="228" t="s">
        <v>884</v>
      </c>
      <c r="B75" s="228" t="s">
        <v>921</v>
      </c>
      <c r="C75" s="229">
        <v>2013</v>
      </c>
      <c r="D75" s="229">
        <v>12</v>
      </c>
      <c r="E75" s="229">
        <v>4</v>
      </c>
      <c r="F75" s="229">
        <v>0</v>
      </c>
      <c r="G75" s="229">
        <v>4</v>
      </c>
      <c r="H75" s="229">
        <v>38</v>
      </c>
      <c r="I75" s="229">
        <v>0</v>
      </c>
      <c r="J75" s="229">
        <v>38</v>
      </c>
      <c r="K75" s="229">
        <v>4</v>
      </c>
      <c r="L75" s="229">
        <v>0</v>
      </c>
      <c r="M75" s="229">
        <v>0</v>
      </c>
      <c r="N75" s="230">
        <v>35.831249999999997</v>
      </c>
      <c r="O75" s="230">
        <v>0</v>
      </c>
      <c r="P75" s="230">
        <v>35.831249999999997</v>
      </c>
      <c r="Q75" s="229">
        <v>0</v>
      </c>
      <c r="R75" s="229">
        <v>35</v>
      </c>
      <c r="S75" s="228" t="s">
        <v>238</v>
      </c>
      <c r="T75" s="228" t="s">
        <v>885</v>
      </c>
      <c r="U75" s="229">
        <v>0</v>
      </c>
      <c r="V75" s="229">
        <v>0</v>
      </c>
      <c r="W75" s="229">
        <v>0</v>
      </c>
    </row>
    <row r="76" spans="1:23" x14ac:dyDescent="0.25">
      <c r="E76">
        <f>SUM(E64:E75)</f>
        <v>54</v>
      </c>
      <c r="H76">
        <f>SUM(H64:H75)</f>
        <v>451</v>
      </c>
    </row>
    <row r="77" spans="1:23" x14ac:dyDescent="0.25">
      <c r="H77">
        <f>+H76/E76</f>
        <v>8.3518518518518512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workbookViewId="0">
      <selection activeCell="B32" sqref="B32"/>
    </sheetView>
  </sheetViews>
  <sheetFormatPr defaultRowHeight="15" x14ac:dyDescent="0.25"/>
  <cols>
    <col min="1" max="1" width="35" customWidth="1"/>
    <col min="2" max="2" width="20.28515625" customWidth="1"/>
    <col min="3" max="3" width="13.7109375" bestFit="1" customWidth="1"/>
    <col min="7" max="7" width="13" customWidth="1"/>
    <col min="10" max="10" width="45.5703125" bestFit="1" customWidth="1"/>
    <col min="257" max="257" width="16.85546875" bestFit="1" customWidth="1"/>
    <col min="258" max="258" width="20.28515625" customWidth="1"/>
    <col min="259" max="259" width="13.7109375" bestFit="1" customWidth="1"/>
    <col min="263" max="263" width="13" customWidth="1"/>
    <col min="266" max="266" width="45.5703125" bestFit="1" customWidth="1"/>
    <col min="513" max="513" width="16.85546875" bestFit="1" customWidth="1"/>
    <col min="514" max="514" width="20.28515625" customWidth="1"/>
    <col min="515" max="515" width="13.7109375" bestFit="1" customWidth="1"/>
    <col min="519" max="519" width="13" customWidth="1"/>
    <col min="522" max="522" width="45.5703125" bestFit="1" customWidth="1"/>
    <col min="769" max="769" width="16.85546875" bestFit="1" customWidth="1"/>
    <col min="770" max="770" width="20.28515625" customWidth="1"/>
    <col min="771" max="771" width="13.7109375" bestFit="1" customWidth="1"/>
    <col min="775" max="775" width="13" customWidth="1"/>
    <col min="778" max="778" width="45.5703125" bestFit="1" customWidth="1"/>
    <col min="1025" max="1025" width="16.85546875" bestFit="1" customWidth="1"/>
    <col min="1026" max="1026" width="20.28515625" customWidth="1"/>
    <col min="1027" max="1027" width="13.7109375" bestFit="1" customWidth="1"/>
    <col min="1031" max="1031" width="13" customWidth="1"/>
    <col min="1034" max="1034" width="45.5703125" bestFit="1" customWidth="1"/>
    <col min="1281" max="1281" width="16.85546875" bestFit="1" customWidth="1"/>
    <col min="1282" max="1282" width="20.28515625" customWidth="1"/>
    <col min="1283" max="1283" width="13.7109375" bestFit="1" customWidth="1"/>
    <col min="1287" max="1287" width="13" customWidth="1"/>
    <col min="1290" max="1290" width="45.5703125" bestFit="1" customWidth="1"/>
    <col min="1537" max="1537" width="16.85546875" bestFit="1" customWidth="1"/>
    <col min="1538" max="1538" width="20.28515625" customWidth="1"/>
    <col min="1539" max="1539" width="13.7109375" bestFit="1" customWidth="1"/>
    <col min="1543" max="1543" width="13" customWidth="1"/>
    <col min="1546" max="1546" width="45.5703125" bestFit="1" customWidth="1"/>
    <col min="1793" max="1793" width="16.85546875" bestFit="1" customWidth="1"/>
    <col min="1794" max="1794" width="20.28515625" customWidth="1"/>
    <col min="1795" max="1795" width="13.7109375" bestFit="1" customWidth="1"/>
    <col min="1799" max="1799" width="13" customWidth="1"/>
    <col min="1802" max="1802" width="45.5703125" bestFit="1" customWidth="1"/>
    <col min="2049" max="2049" width="16.85546875" bestFit="1" customWidth="1"/>
    <col min="2050" max="2050" width="20.28515625" customWidth="1"/>
    <col min="2051" max="2051" width="13.7109375" bestFit="1" customWidth="1"/>
    <col min="2055" max="2055" width="13" customWidth="1"/>
    <col min="2058" max="2058" width="45.5703125" bestFit="1" customWidth="1"/>
    <col min="2305" max="2305" width="16.85546875" bestFit="1" customWidth="1"/>
    <col min="2306" max="2306" width="20.28515625" customWidth="1"/>
    <col min="2307" max="2307" width="13.7109375" bestFit="1" customWidth="1"/>
    <col min="2311" max="2311" width="13" customWidth="1"/>
    <col min="2314" max="2314" width="45.5703125" bestFit="1" customWidth="1"/>
    <col min="2561" max="2561" width="16.85546875" bestFit="1" customWidth="1"/>
    <col min="2562" max="2562" width="20.28515625" customWidth="1"/>
    <col min="2563" max="2563" width="13.7109375" bestFit="1" customWidth="1"/>
    <col min="2567" max="2567" width="13" customWidth="1"/>
    <col min="2570" max="2570" width="45.5703125" bestFit="1" customWidth="1"/>
    <col min="2817" max="2817" width="16.85546875" bestFit="1" customWidth="1"/>
    <col min="2818" max="2818" width="20.28515625" customWidth="1"/>
    <col min="2819" max="2819" width="13.7109375" bestFit="1" customWidth="1"/>
    <col min="2823" max="2823" width="13" customWidth="1"/>
    <col min="2826" max="2826" width="45.5703125" bestFit="1" customWidth="1"/>
    <col min="3073" max="3073" width="16.85546875" bestFit="1" customWidth="1"/>
    <col min="3074" max="3074" width="20.28515625" customWidth="1"/>
    <col min="3075" max="3075" width="13.7109375" bestFit="1" customWidth="1"/>
    <col min="3079" max="3079" width="13" customWidth="1"/>
    <col min="3082" max="3082" width="45.5703125" bestFit="1" customWidth="1"/>
    <col min="3329" max="3329" width="16.85546875" bestFit="1" customWidth="1"/>
    <col min="3330" max="3330" width="20.28515625" customWidth="1"/>
    <col min="3331" max="3331" width="13.7109375" bestFit="1" customWidth="1"/>
    <col min="3335" max="3335" width="13" customWidth="1"/>
    <col min="3338" max="3338" width="45.5703125" bestFit="1" customWidth="1"/>
    <col min="3585" max="3585" width="16.85546875" bestFit="1" customWidth="1"/>
    <col min="3586" max="3586" width="20.28515625" customWidth="1"/>
    <col min="3587" max="3587" width="13.7109375" bestFit="1" customWidth="1"/>
    <col min="3591" max="3591" width="13" customWidth="1"/>
    <col min="3594" max="3594" width="45.5703125" bestFit="1" customWidth="1"/>
    <col min="3841" max="3841" width="16.85546875" bestFit="1" customWidth="1"/>
    <col min="3842" max="3842" width="20.28515625" customWidth="1"/>
    <col min="3843" max="3843" width="13.7109375" bestFit="1" customWidth="1"/>
    <col min="3847" max="3847" width="13" customWidth="1"/>
    <col min="3850" max="3850" width="45.5703125" bestFit="1" customWidth="1"/>
    <col min="4097" max="4097" width="16.85546875" bestFit="1" customWidth="1"/>
    <col min="4098" max="4098" width="20.28515625" customWidth="1"/>
    <col min="4099" max="4099" width="13.7109375" bestFit="1" customWidth="1"/>
    <col min="4103" max="4103" width="13" customWidth="1"/>
    <col min="4106" max="4106" width="45.5703125" bestFit="1" customWidth="1"/>
    <col min="4353" max="4353" width="16.85546875" bestFit="1" customWidth="1"/>
    <col min="4354" max="4354" width="20.28515625" customWidth="1"/>
    <col min="4355" max="4355" width="13.7109375" bestFit="1" customWidth="1"/>
    <col min="4359" max="4359" width="13" customWidth="1"/>
    <col min="4362" max="4362" width="45.5703125" bestFit="1" customWidth="1"/>
    <col min="4609" max="4609" width="16.85546875" bestFit="1" customWidth="1"/>
    <col min="4610" max="4610" width="20.28515625" customWidth="1"/>
    <col min="4611" max="4611" width="13.7109375" bestFit="1" customWidth="1"/>
    <col min="4615" max="4615" width="13" customWidth="1"/>
    <col min="4618" max="4618" width="45.5703125" bestFit="1" customWidth="1"/>
    <col min="4865" max="4865" width="16.85546875" bestFit="1" customWidth="1"/>
    <col min="4866" max="4866" width="20.28515625" customWidth="1"/>
    <col min="4867" max="4867" width="13.7109375" bestFit="1" customWidth="1"/>
    <col min="4871" max="4871" width="13" customWidth="1"/>
    <col min="4874" max="4874" width="45.5703125" bestFit="1" customWidth="1"/>
    <col min="5121" max="5121" width="16.85546875" bestFit="1" customWidth="1"/>
    <col min="5122" max="5122" width="20.28515625" customWidth="1"/>
    <col min="5123" max="5123" width="13.7109375" bestFit="1" customWidth="1"/>
    <col min="5127" max="5127" width="13" customWidth="1"/>
    <col min="5130" max="5130" width="45.5703125" bestFit="1" customWidth="1"/>
    <col min="5377" max="5377" width="16.85546875" bestFit="1" customWidth="1"/>
    <col min="5378" max="5378" width="20.28515625" customWidth="1"/>
    <col min="5379" max="5379" width="13.7109375" bestFit="1" customWidth="1"/>
    <col min="5383" max="5383" width="13" customWidth="1"/>
    <col min="5386" max="5386" width="45.5703125" bestFit="1" customWidth="1"/>
    <col min="5633" max="5633" width="16.85546875" bestFit="1" customWidth="1"/>
    <col min="5634" max="5634" width="20.28515625" customWidth="1"/>
    <col min="5635" max="5635" width="13.7109375" bestFit="1" customWidth="1"/>
    <col min="5639" max="5639" width="13" customWidth="1"/>
    <col min="5642" max="5642" width="45.5703125" bestFit="1" customWidth="1"/>
    <col min="5889" max="5889" width="16.85546875" bestFit="1" customWidth="1"/>
    <col min="5890" max="5890" width="20.28515625" customWidth="1"/>
    <col min="5891" max="5891" width="13.7109375" bestFit="1" customWidth="1"/>
    <col min="5895" max="5895" width="13" customWidth="1"/>
    <col min="5898" max="5898" width="45.5703125" bestFit="1" customWidth="1"/>
    <col min="6145" max="6145" width="16.85546875" bestFit="1" customWidth="1"/>
    <col min="6146" max="6146" width="20.28515625" customWidth="1"/>
    <col min="6147" max="6147" width="13.7109375" bestFit="1" customWidth="1"/>
    <col min="6151" max="6151" width="13" customWidth="1"/>
    <col min="6154" max="6154" width="45.5703125" bestFit="1" customWidth="1"/>
    <col min="6401" max="6401" width="16.85546875" bestFit="1" customWidth="1"/>
    <col min="6402" max="6402" width="20.28515625" customWidth="1"/>
    <col min="6403" max="6403" width="13.7109375" bestFit="1" customWidth="1"/>
    <col min="6407" max="6407" width="13" customWidth="1"/>
    <col min="6410" max="6410" width="45.5703125" bestFit="1" customWidth="1"/>
    <col min="6657" max="6657" width="16.85546875" bestFit="1" customWidth="1"/>
    <col min="6658" max="6658" width="20.28515625" customWidth="1"/>
    <col min="6659" max="6659" width="13.7109375" bestFit="1" customWidth="1"/>
    <col min="6663" max="6663" width="13" customWidth="1"/>
    <col min="6666" max="6666" width="45.5703125" bestFit="1" customWidth="1"/>
    <col min="6913" max="6913" width="16.85546875" bestFit="1" customWidth="1"/>
    <col min="6914" max="6914" width="20.28515625" customWidth="1"/>
    <col min="6915" max="6915" width="13.7109375" bestFit="1" customWidth="1"/>
    <col min="6919" max="6919" width="13" customWidth="1"/>
    <col min="6922" max="6922" width="45.5703125" bestFit="1" customWidth="1"/>
    <col min="7169" max="7169" width="16.85546875" bestFit="1" customWidth="1"/>
    <col min="7170" max="7170" width="20.28515625" customWidth="1"/>
    <col min="7171" max="7171" width="13.7109375" bestFit="1" customWidth="1"/>
    <col min="7175" max="7175" width="13" customWidth="1"/>
    <col min="7178" max="7178" width="45.5703125" bestFit="1" customWidth="1"/>
    <col min="7425" max="7425" width="16.85546875" bestFit="1" customWidth="1"/>
    <col min="7426" max="7426" width="20.28515625" customWidth="1"/>
    <col min="7427" max="7427" width="13.7109375" bestFit="1" customWidth="1"/>
    <col min="7431" max="7431" width="13" customWidth="1"/>
    <col min="7434" max="7434" width="45.5703125" bestFit="1" customWidth="1"/>
    <col min="7681" max="7681" width="16.85546875" bestFit="1" customWidth="1"/>
    <col min="7682" max="7682" width="20.28515625" customWidth="1"/>
    <col min="7683" max="7683" width="13.7109375" bestFit="1" customWidth="1"/>
    <col min="7687" max="7687" width="13" customWidth="1"/>
    <col min="7690" max="7690" width="45.5703125" bestFit="1" customWidth="1"/>
    <col min="7937" max="7937" width="16.85546875" bestFit="1" customWidth="1"/>
    <col min="7938" max="7938" width="20.28515625" customWidth="1"/>
    <col min="7939" max="7939" width="13.7109375" bestFit="1" customWidth="1"/>
    <col min="7943" max="7943" width="13" customWidth="1"/>
    <col min="7946" max="7946" width="45.5703125" bestFit="1" customWidth="1"/>
    <col min="8193" max="8193" width="16.85546875" bestFit="1" customWidth="1"/>
    <col min="8194" max="8194" width="20.28515625" customWidth="1"/>
    <col min="8195" max="8195" width="13.7109375" bestFit="1" customWidth="1"/>
    <col min="8199" max="8199" width="13" customWidth="1"/>
    <col min="8202" max="8202" width="45.5703125" bestFit="1" customWidth="1"/>
    <col min="8449" max="8449" width="16.85546875" bestFit="1" customWidth="1"/>
    <col min="8450" max="8450" width="20.28515625" customWidth="1"/>
    <col min="8451" max="8451" width="13.7109375" bestFit="1" customWidth="1"/>
    <col min="8455" max="8455" width="13" customWidth="1"/>
    <col min="8458" max="8458" width="45.5703125" bestFit="1" customWidth="1"/>
    <col min="8705" max="8705" width="16.85546875" bestFit="1" customWidth="1"/>
    <col min="8706" max="8706" width="20.28515625" customWidth="1"/>
    <col min="8707" max="8707" width="13.7109375" bestFit="1" customWidth="1"/>
    <col min="8711" max="8711" width="13" customWidth="1"/>
    <col min="8714" max="8714" width="45.5703125" bestFit="1" customWidth="1"/>
    <col min="8961" max="8961" width="16.85546875" bestFit="1" customWidth="1"/>
    <col min="8962" max="8962" width="20.28515625" customWidth="1"/>
    <col min="8963" max="8963" width="13.7109375" bestFit="1" customWidth="1"/>
    <col min="8967" max="8967" width="13" customWidth="1"/>
    <col min="8970" max="8970" width="45.5703125" bestFit="1" customWidth="1"/>
    <col min="9217" max="9217" width="16.85546875" bestFit="1" customWidth="1"/>
    <col min="9218" max="9218" width="20.28515625" customWidth="1"/>
    <col min="9219" max="9219" width="13.7109375" bestFit="1" customWidth="1"/>
    <col min="9223" max="9223" width="13" customWidth="1"/>
    <col min="9226" max="9226" width="45.5703125" bestFit="1" customWidth="1"/>
    <col min="9473" max="9473" width="16.85546875" bestFit="1" customWidth="1"/>
    <col min="9474" max="9474" width="20.28515625" customWidth="1"/>
    <col min="9475" max="9475" width="13.7109375" bestFit="1" customWidth="1"/>
    <col min="9479" max="9479" width="13" customWidth="1"/>
    <col min="9482" max="9482" width="45.5703125" bestFit="1" customWidth="1"/>
    <col min="9729" max="9729" width="16.85546875" bestFit="1" customWidth="1"/>
    <col min="9730" max="9730" width="20.28515625" customWidth="1"/>
    <col min="9731" max="9731" width="13.7109375" bestFit="1" customWidth="1"/>
    <col min="9735" max="9735" width="13" customWidth="1"/>
    <col min="9738" max="9738" width="45.5703125" bestFit="1" customWidth="1"/>
    <col min="9985" max="9985" width="16.85546875" bestFit="1" customWidth="1"/>
    <col min="9986" max="9986" width="20.28515625" customWidth="1"/>
    <col min="9987" max="9987" width="13.7109375" bestFit="1" customWidth="1"/>
    <col min="9991" max="9991" width="13" customWidth="1"/>
    <col min="9994" max="9994" width="45.5703125" bestFit="1" customWidth="1"/>
    <col min="10241" max="10241" width="16.85546875" bestFit="1" customWidth="1"/>
    <col min="10242" max="10242" width="20.28515625" customWidth="1"/>
    <col min="10243" max="10243" width="13.7109375" bestFit="1" customWidth="1"/>
    <col min="10247" max="10247" width="13" customWidth="1"/>
    <col min="10250" max="10250" width="45.5703125" bestFit="1" customWidth="1"/>
    <col min="10497" max="10497" width="16.85546875" bestFit="1" customWidth="1"/>
    <col min="10498" max="10498" width="20.28515625" customWidth="1"/>
    <col min="10499" max="10499" width="13.7109375" bestFit="1" customWidth="1"/>
    <col min="10503" max="10503" width="13" customWidth="1"/>
    <col min="10506" max="10506" width="45.5703125" bestFit="1" customWidth="1"/>
    <col min="10753" max="10753" width="16.85546875" bestFit="1" customWidth="1"/>
    <col min="10754" max="10754" width="20.28515625" customWidth="1"/>
    <col min="10755" max="10755" width="13.7109375" bestFit="1" customWidth="1"/>
    <col min="10759" max="10759" width="13" customWidth="1"/>
    <col min="10762" max="10762" width="45.5703125" bestFit="1" customWidth="1"/>
    <col min="11009" max="11009" width="16.85546875" bestFit="1" customWidth="1"/>
    <col min="11010" max="11010" width="20.28515625" customWidth="1"/>
    <col min="11011" max="11011" width="13.7109375" bestFit="1" customWidth="1"/>
    <col min="11015" max="11015" width="13" customWidth="1"/>
    <col min="11018" max="11018" width="45.5703125" bestFit="1" customWidth="1"/>
    <col min="11265" max="11265" width="16.85546875" bestFit="1" customWidth="1"/>
    <col min="11266" max="11266" width="20.28515625" customWidth="1"/>
    <col min="11267" max="11267" width="13.7109375" bestFit="1" customWidth="1"/>
    <col min="11271" max="11271" width="13" customWidth="1"/>
    <col min="11274" max="11274" width="45.5703125" bestFit="1" customWidth="1"/>
    <col min="11521" max="11521" width="16.85546875" bestFit="1" customWidth="1"/>
    <col min="11522" max="11522" width="20.28515625" customWidth="1"/>
    <col min="11523" max="11523" width="13.7109375" bestFit="1" customWidth="1"/>
    <col min="11527" max="11527" width="13" customWidth="1"/>
    <col min="11530" max="11530" width="45.5703125" bestFit="1" customWidth="1"/>
    <col min="11777" max="11777" width="16.85546875" bestFit="1" customWidth="1"/>
    <col min="11778" max="11778" width="20.28515625" customWidth="1"/>
    <col min="11779" max="11779" width="13.7109375" bestFit="1" customWidth="1"/>
    <col min="11783" max="11783" width="13" customWidth="1"/>
    <col min="11786" max="11786" width="45.5703125" bestFit="1" customWidth="1"/>
    <col min="12033" max="12033" width="16.85546875" bestFit="1" customWidth="1"/>
    <col min="12034" max="12034" width="20.28515625" customWidth="1"/>
    <col min="12035" max="12035" width="13.7109375" bestFit="1" customWidth="1"/>
    <col min="12039" max="12039" width="13" customWidth="1"/>
    <col min="12042" max="12042" width="45.5703125" bestFit="1" customWidth="1"/>
    <col min="12289" max="12289" width="16.85546875" bestFit="1" customWidth="1"/>
    <col min="12290" max="12290" width="20.28515625" customWidth="1"/>
    <col min="12291" max="12291" width="13.7109375" bestFit="1" customWidth="1"/>
    <col min="12295" max="12295" width="13" customWidth="1"/>
    <col min="12298" max="12298" width="45.5703125" bestFit="1" customWidth="1"/>
    <col min="12545" max="12545" width="16.85546875" bestFit="1" customWidth="1"/>
    <col min="12546" max="12546" width="20.28515625" customWidth="1"/>
    <col min="12547" max="12547" width="13.7109375" bestFit="1" customWidth="1"/>
    <col min="12551" max="12551" width="13" customWidth="1"/>
    <col min="12554" max="12554" width="45.5703125" bestFit="1" customWidth="1"/>
    <col min="12801" max="12801" width="16.85546875" bestFit="1" customWidth="1"/>
    <col min="12802" max="12802" width="20.28515625" customWidth="1"/>
    <col min="12803" max="12803" width="13.7109375" bestFit="1" customWidth="1"/>
    <col min="12807" max="12807" width="13" customWidth="1"/>
    <col min="12810" max="12810" width="45.5703125" bestFit="1" customWidth="1"/>
    <col min="13057" max="13057" width="16.85546875" bestFit="1" customWidth="1"/>
    <col min="13058" max="13058" width="20.28515625" customWidth="1"/>
    <col min="13059" max="13059" width="13.7109375" bestFit="1" customWidth="1"/>
    <col min="13063" max="13063" width="13" customWidth="1"/>
    <col min="13066" max="13066" width="45.5703125" bestFit="1" customWidth="1"/>
    <col min="13313" max="13313" width="16.85546875" bestFit="1" customWidth="1"/>
    <col min="13314" max="13314" width="20.28515625" customWidth="1"/>
    <col min="13315" max="13315" width="13.7109375" bestFit="1" customWidth="1"/>
    <col min="13319" max="13319" width="13" customWidth="1"/>
    <col min="13322" max="13322" width="45.5703125" bestFit="1" customWidth="1"/>
    <col min="13569" max="13569" width="16.85546875" bestFit="1" customWidth="1"/>
    <col min="13570" max="13570" width="20.28515625" customWidth="1"/>
    <col min="13571" max="13571" width="13.7109375" bestFit="1" customWidth="1"/>
    <col min="13575" max="13575" width="13" customWidth="1"/>
    <col min="13578" max="13578" width="45.5703125" bestFit="1" customWidth="1"/>
    <col min="13825" max="13825" width="16.85546875" bestFit="1" customWidth="1"/>
    <col min="13826" max="13826" width="20.28515625" customWidth="1"/>
    <col min="13827" max="13827" width="13.7109375" bestFit="1" customWidth="1"/>
    <col min="13831" max="13831" width="13" customWidth="1"/>
    <col min="13834" max="13834" width="45.5703125" bestFit="1" customWidth="1"/>
    <col min="14081" max="14081" width="16.85546875" bestFit="1" customWidth="1"/>
    <col min="14082" max="14082" width="20.28515625" customWidth="1"/>
    <col min="14083" max="14083" width="13.7109375" bestFit="1" customWidth="1"/>
    <col min="14087" max="14087" width="13" customWidth="1"/>
    <col min="14090" max="14090" width="45.5703125" bestFit="1" customWidth="1"/>
    <col min="14337" max="14337" width="16.85546875" bestFit="1" customWidth="1"/>
    <col min="14338" max="14338" width="20.28515625" customWidth="1"/>
    <col min="14339" max="14339" width="13.7109375" bestFit="1" customWidth="1"/>
    <col min="14343" max="14343" width="13" customWidth="1"/>
    <col min="14346" max="14346" width="45.5703125" bestFit="1" customWidth="1"/>
    <col min="14593" max="14593" width="16.85546875" bestFit="1" customWidth="1"/>
    <col min="14594" max="14594" width="20.28515625" customWidth="1"/>
    <col min="14595" max="14595" width="13.7109375" bestFit="1" customWidth="1"/>
    <col min="14599" max="14599" width="13" customWidth="1"/>
    <col min="14602" max="14602" width="45.5703125" bestFit="1" customWidth="1"/>
    <col min="14849" max="14849" width="16.85546875" bestFit="1" customWidth="1"/>
    <col min="14850" max="14850" width="20.28515625" customWidth="1"/>
    <col min="14851" max="14851" width="13.7109375" bestFit="1" customWidth="1"/>
    <col min="14855" max="14855" width="13" customWidth="1"/>
    <col min="14858" max="14858" width="45.5703125" bestFit="1" customWidth="1"/>
    <col min="15105" max="15105" width="16.85546875" bestFit="1" customWidth="1"/>
    <col min="15106" max="15106" width="20.28515625" customWidth="1"/>
    <col min="15107" max="15107" width="13.7109375" bestFit="1" customWidth="1"/>
    <col min="15111" max="15111" width="13" customWidth="1"/>
    <col min="15114" max="15114" width="45.5703125" bestFit="1" customWidth="1"/>
    <col min="15361" max="15361" width="16.85546875" bestFit="1" customWidth="1"/>
    <col min="15362" max="15362" width="20.28515625" customWidth="1"/>
    <col min="15363" max="15363" width="13.7109375" bestFit="1" customWidth="1"/>
    <col min="15367" max="15367" width="13" customWidth="1"/>
    <col min="15370" max="15370" width="45.5703125" bestFit="1" customWidth="1"/>
    <col min="15617" max="15617" width="16.85546875" bestFit="1" customWidth="1"/>
    <col min="15618" max="15618" width="20.28515625" customWidth="1"/>
    <col min="15619" max="15619" width="13.7109375" bestFit="1" customWidth="1"/>
    <col min="15623" max="15623" width="13" customWidth="1"/>
    <col min="15626" max="15626" width="45.5703125" bestFit="1" customWidth="1"/>
    <col min="15873" max="15873" width="16.85546875" bestFit="1" customWidth="1"/>
    <col min="15874" max="15874" width="20.28515625" customWidth="1"/>
    <col min="15875" max="15875" width="13.7109375" bestFit="1" customWidth="1"/>
    <col min="15879" max="15879" width="13" customWidth="1"/>
    <col min="15882" max="15882" width="45.5703125" bestFit="1" customWidth="1"/>
    <col min="16129" max="16129" width="16.85546875" bestFit="1" customWidth="1"/>
    <col min="16130" max="16130" width="20.28515625" customWidth="1"/>
    <col min="16131" max="16131" width="13.7109375" bestFit="1" customWidth="1"/>
    <col min="16135" max="16135" width="13" customWidth="1"/>
    <col min="16138" max="16138" width="45.5703125" bestFit="1" customWidth="1"/>
  </cols>
  <sheetData>
    <row r="1" spans="1:10" ht="90" x14ac:dyDescent="0.25">
      <c r="A1" s="223" t="s">
        <v>948</v>
      </c>
    </row>
    <row r="3" spans="1:10" x14ac:dyDescent="0.25">
      <c r="A3" s="61" t="s">
        <v>606</v>
      </c>
    </row>
    <row r="4" spans="1:10" x14ac:dyDescent="0.25">
      <c r="A4" s="10" t="s">
        <v>932</v>
      </c>
    </row>
    <row r="5" spans="1:10" ht="15.75" thickBot="1" x14ac:dyDescent="0.3"/>
    <row r="6" spans="1:10" ht="15.75" thickBot="1" x14ac:dyDescent="0.3">
      <c r="A6" s="429" t="s">
        <v>607</v>
      </c>
      <c r="B6" s="430"/>
    </row>
    <row r="7" spans="1:10" ht="15.75" thickBot="1" x14ac:dyDescent="0.3">
      <c r="A7" s="62" t="s">
        <v>933</v>
      </c>
      <c r="B7" s="65">
        <v>289.86735579377233</v>
      </c>
    </row>
    <row r="8" spans="1:10" ht="15.75" thickBot="1" x14ac:dyDescent="0.3">
      <c r="A8" s="62" t="s">
        <v>934</v>
      </c>
      <c r="B8" s="65">
        <v>586.9827666701816</v>
      </c>
    </row>
    <row r="9" spans="1:10" ht="15.75" thickBot="1" x14ac:dyDescent="0.3">
      <c r="A9" s="62" t="s">
        <v>935</v>
      </c>
      <c r="B9" s="65">
        <v>274.84297877341203</v>
      </c>
    </row>
    <row r="10" spans="1:10" ht="15.75" thickBot="1" x14ac:dyDescent="0.3">
      <c r="A10" s="62"/>
      <c r="B10" s="64"/>
    </row>
    <row r="11" spans="1:10" ht="15.75" thickBot="1" x14ac:dyDescent="0.3">
      <c r="A11" s="62"/>
      <c r="B11" s="64"/>
    </row>
    <row r="12" spans="1:10" ht="15.75" thickBot="1" x14ac:dyDescent="0.3"/>
    <row r="13" spans="1:10" ht="25.5" customHeight="1" thickBot="1" x14ac:dyDescent="0.3">
      <c r="A13" s="431" t="s">
        <v>612</v>
      </c>
      <c r="B13" s="432"/>
    </row>
    <row r="14" spans="1:10" ht="15.75" thickBot="1" x14ac:dyDescent="0.3">
      <c r="A14" s="62" t="s">
        <v>613</v>
      </c>
      <c r="B14" s="65">
        <v>0</v>
      </c>
    </row>
    <row r="15" spans="1:10" ht="15.75" thickBot="1" x14ac:dyDescent="0.3">
      <c r="A15" s="66" t="s">
        <v>820</v>
      </c>
      <c r="B15" s="65">
        <v>0</v>
      </c>
      <c r="J15" s="9"/>
    </row>
    <row r="16" spans="1:10" ht="15.75" thickBot="1" x14ac:dyDescent="0.3"/>
    <row r="17" spans="1:10" ht="16.5" thickBot="1" x14ac:dyDescent="0.3">
      <c r="A17" s="449"/>
      <c r="B17" s="424"/>
      <c r="C17" s="425"/>
    </row>
    <row r="18" spans="1:10" x14ac:dyDescent="0.25">
      <c r="A18" s="426"/>
      <c r="B18" s="427"/>
      <c r="C18" s="428"/>
    </row>
    <row r="19" spans="1:10" x14ac:dyDescent="0.25">
      <c r="A19" s="417"/>
      <c r="B19" s="418"/>
      <c r="C19" s="419"/>
    </row>
    <row r="20" spans="1:10" x14ac:dyDescent="0.25">
      <c r="A20" s="417"/>
      <c r="B20" s="418"/>
      <c r="C20" s="419"/>
    </row>
    <row r="21" spans="1:10" x14ac:dyDescent="0.25">
      <c r="A21" s="417"/>
      <c r="B21" s="418"/>
      <c r="C21" s="419"/>
    </row>
    <row r="22" spans="1:10" ht="15.75" thickBot="1" x14ac:dyDescent="0.3">
      <c r="A22" s="420" t="s">
        <v>936</v>
      </c>
      <c r="B22" s="421"/>
      <c r="C22" s="422"/>
    </row>
    <row r="23" spans="1:10" ht="15.75" thickBot="1" x14ac:dyDescent="0.3">
      <c r="A23" s="67"/>
      <c r="B23" s="64"/>
      <c r="C23" s="68" t="s">
        <v>618</v>
      </c>
    </row>
    <row r="24" spans="1:10" ht="15.75" thickBot="1" x14ac:dyDescent="0.3">
      <c r="A24" s="62" t="s">
        <v>937</v>
      </c>
      <c r="B24" s="69" t="s">
        <v>938</v>
      </c>
      <c r="C24" s="70">
        <v>213.09943597478187</v>
      </c>
      <c r="G24" s="9"/>
    </row>
    <row r="25" spans="1:10" ht="15.75" thickBot="1" x14ac:dyDescent="0.3">
      <c r="A25" s="62"/>
      <c r="B25" s="69" t="s">
        <v>939</v>
      </c>
      <c r="C25" s="70">
        <v>37.64797850852262</v>
      </c>
      <c r="G25" s="9"/>
    </row>
    <row r="26" spans="1:10" ht="15.75" thickBot="1" x14ac:dyDescent="0.3">
      <c r="A26" s="62"/>
      <c r="B26" s="69" t="s">
        <v>934</v>
      </c>
      <c r="C26" s="9">
        <v>3.1868675845884726</v>
      </c>
      <c r="J26" s="212"/>
    </row>
    <row r="27" spans="1:10" ht="15.75" thickBot="1" x14ac:dyDescent="0.3">
      <c r="A27" s="62"/>
      <c r="B27" s="69" t="s">
        <v>940</v>
      </c>
      <c r="C27" s="70">
        <v>45.992575328747165</v>
      </c>
      <c r="G27" s="231"/>
      <c r="H27" s="9"/>
      <c r="J27" s="212"/>
    </row>
    <row r="28" spans="1:10" ht="15.75" thickBot="1" x14ac:dyDescent="0.3">
      <c r="A28" s="62"/>
      <c r="B28" s="69" t="s">
        <v>941</v>
      </c>
      <c r="C28" s="70">
        <f>50677/15349</f>
        <v>3.3016483158511956</v>
      </c>
      <c r="G28" s="231"/>
      <c r="H28" s="9"/>
      <c r="J28" s="61"/>
    </row>
    <row r="29" spans="1:10" ht="15.75" thickBot="1" x14ac:dyDescent="0.3">
      <c r="A29" s="62" t="s">
        <v>942</v>
      </c>
      <c r="B29" s="69" t="s">
        <v>943</v>
      </c>
      <c r="C29" s="70">
        <f>243472.5/15349</f>
        <v>15.862434034790541</v>
      </c>
      <c r="G29" s="231"/>
      <c r="H29" s="9"/>
      <c r="J29" s="232"/>
    </row>
    <row r="30" spans="1:10" ht="15.75" thickBot="1" x14ac:dyDescent="0.3">
      <c r="A30" s="62"/>
      <c r="B30" s="69" t="s">
        <v>653</v>
      </c>
      <c r="C30" s="70">
        <f>33310.189827264/15349</f>
        <v>2.1701863201031992</v>
      </c>
      <c r="G30" s="231"/>
      <c r="H30" s="9"/>
      <c r="J30" s="231"/>
    </row>
    <row r="31" spans="1:10" ht="15.75" thickBot="1" x14ac:dyDescent="0.3">
      <c r="A31" s="62"/>
      <c r="B31" s="69" t="s">
        <v>944</v>
      </c>
      <c r="C31" s="70">
        <v>60.64570601284975</v>
      </c>
      <c r="G31" s="233"/>
      <c r="H31" s="9"/>
      <c r="J31" s="231"/>
    </row>
    <row r="32" spans="1:10" ht="15.75" thickBot="1" x14ac:dyDescent="0.3">
      <c r="A32" s="62" t="s">
        <v>945</v>
      </c>
      <c r="B32" s="69"/>
      <c r="C32" s="70">
        <v>114.57205692959766</v>
      </c>
      <c r="H32" s="9"/>
      <c r="J32" s="231"/>
    </row>
    <row r="33" spans="1:10" ht="15.75" thickBot="1" x14ac:dyDescent="0.3">
      <c r="A33" s="72" t="s">
        <v>125</v>
      </c>
      <c r="B33" s="69"/>
      <c r="C33" s="73">
        <f>SUM(C24:C32)</f>
        <v>496.47888900983253</v>
      </c>
      <c r="E33" s="10" t="s">
        <v>932</v>
      </c>
      <c r="J33" s="231"/>
    </row>
    <row r="34" spans="1:10" ht="15.75" thickBot="1" x14ac:dyDescent="0.3">
      <c r="J34" s="233"/>
    </row>
    <row r="35" spans="1:10" ht="16.5" thickBot="1" x14ac:dyDescent="0.3">
      <c r="A35" s="449"/>
      <c r="B35" s="424"/>
      <c r="C35" s="425"/>
      <c r="J35" s="212"/>
    </row>
    <row r="36" spans="1:10" x14ac:dyDescent="0.25">
      <c r="A36" s="426"/>
      <c r="B36" s="427"/>
      <c r="C36" s="428"/>
    </row>
    <row r="37" spans="1:10" x14ac:dyDescent="0.25">
      <c r="A37" s="417"/>
      <c r="B37" s="418"/>
      <c r="C37" s="419"/>
    </row>
    <row r="38" spans="1:10" x14ac:dyDescent="0.25">
      <c r="A38" s="417"/>
      <c r="B38" s="418"/>
      <c r="C38" s="419"/>
    </row>
    <row r="39" spans="1:10" x14ac:dyDescent="0.25">
      <c r="A39" s="417"/>
      <c r="B39" s="418"/>
      <c r="C39" s="419"/>
    </row>
    <row r="40" spans="1:10" ht="15.75" thickBot="1" x14ac:dyDescent="0.3">
      <c r="A40" s="420"/>
      <c r="B40" s="421"/>
      <c r="C40" s="422"/>
    </row>
    <row r="41" spans="1:10" ht="15.75" thickBot="1" x14ac:dyDescent="0.3">
      <c r="A41" s="67"/>
      <c r="B41" s="64"/>
      <c r="C41" s="68"/>
    </row>
    <row r="42" spans="1:10" ht="15.75" thickBot="1" x14ac:dyDescent="0.3">
      <c r="A42" s="62"/>
      <c r="B42" s="69"/>
      <c r="C42" s="70"/>
    </row>
    <row r="43" spans="1:10" ht="15.75" thickBot="1" x14ac:dyDescent="0.3">
      <c r="A43" s="62"/>
      <c r="B43" s="69"/>
      <c r="C43" s="70"/>
    </row>
    <row r="44" spans="1:10" ht="15.75" thickBot="1" x14ac:dyDescent="0.3">
      <c r="A44" s="62"/>
      <c r="B44" s="69"/>
      <c r="C44" s="71"/>
    </row>
    <row r="45" spans="1:10" ht="15.75" thickBot="1" x14ac:dyDescent="0.3">
      <c r="A45" s="62"/>
      <c r="B45" s="69"/>
      <c r="C45" s="70"/>
    </row>
    <row r="46" spans="1:10" ht="15.75" thickBot="1" x14ac:dyDescent="0.3">
      <c r="A46" s="62"/>
      <c r="B46" s="69"/>
      <c r="C46" s="70"/>
    </row>
    <row r="47" spans="1:10" ht="15.75" thickBot="1" x14ac:dyDescent="0.3">
      <c r="A47" s="62"/>
      <c r="B47" s="69"/>
      <c r="C47" s="71"/>
    </row>
    <row r="48" spans="1:10" ht="15.75" thickBot="1" x14ac:dyDescent="0.3">
      <c r="A48" s="62"/>
      <c r="B48" s="69"/>
      <c r="C48" s="70"/>
    </row>
    <row r="49" spans="1:3" ht="15.75" thickBot="1" x14ac:dyDescent="0.3">
      <c r="A49" s="62"/>
      <c r="B49" s="69"/>
      <c r="C49" s="70"/>
    </row>
    <row r="50" spans="1:3" ht="15.75" thickBot="1" x14ac:dyDescent="0.3">
      <c r="A50" s="62"/>
      <c r="B50" s="69"/>
      <c r="C50" s="71"/>
    </row>
    <row r="51" spans="1:3" ht="15.75" thickBot="1" x14ac:dyDescent="0.3">
      <c r="A51" s="72"/>
      <c r="B51" s="69"/>
      <c r="C51" s="73"/>
    </row>
  </sheetData>
  <mergeCells count="14">
    <mergeCell ref="A20:C20"/>
    <mergeCell ref="A6:B6"/>
    <mergeCell ref="A13:B13"/>
    <mergeCell ref="A17:C17"/>
    <mergeCell ref="A18:C18"/>
    <mergeCell ref="A19:C19"/>
    <mergeCell ref="A39:C39"/>
    <mergeCell ref="A40:C40"/>
    <mergeCell ref="A21:C21"/>
    <mergeCell ref="A22:C22"/>
    <mergeCell ref="A35:C35"/>
    <mergeCell ref="A36:C36"/>
    <mergeCell ref="A37:C37"/>
    <mergeCell ref="A38:C3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election activeCell="C4" sqref="C4"/>
    </sheetView>
  </sheetViews>
  <sheetFormatPr defaultRowHeight="15" x14ac:dyDescent="0.25"/>
  <cols>
    <col min="1" max="1" width="25.85546875" customWidth="1"/>
    <col min="2" max="2" width="20.28515625" customWidth="1"/>
    <col min="3" max="3" width="13.7109375" bestFit="1" customWidth="1"/>
    <col min="7" max="7" width="13" customWidth="1"/>
    <col min="9" max="9" width="45.5703125" bestFit="1" customWidth="1"/>
    <col min="257" max="257" width="16.85546875" bestFit="1" customWidth="1"/>
    <col min="258" max="258" width="20.28515625" customWidth="1"/>
    <col min="259" max="259" width="13.7109375" bestFit="1" customWidth="1"/>
    <col min="263" max="263" width="13" customWidth="1"/>
    <col min="265" max="265" width="45.5703125" bestFit="1" customWidth="1"/>
    <col min="513" max="513" width="16.85546875" bestFit="1" customWidth="1"/>
    <col min="514" max="514" width="20.28515625" customWidth="1"/>
    <col min="515" max="515" width="13.7109375" bestFit="1" customWidth="1"/>
    <col min="519" max="519" width="13" customWidth="1"/>
    <col min="521" max="521" width="45.5703125" bestFit="1" customWidth="1"/>
    <col min="769" max="769" width="16.85546875" bestFit="1" customWidth="1"/>
    <col min="770" max="770" width="20.28515625" customWidth="1"/>
    <col min="771" max="771" width="13.7109375" bestFit="1" customWidth="1"/>
    <col min="775" max="775" width="13" customWidth="1"/>
    <col min="777" max="777" width="45.5703125" bestFit="1" customWidth="1"/>
    <col min="1025" max="1025" width="16.85546875" bestFit="1" customWidth="1"/>
    <col min="1026" max="1026" width="20.28515625" customWidth="1"/>
    <col min="1027" max="1027" width="13.7109375" bestFit="1" customWidth="1"/>
    <col min="1031" max="1031" width="13" customWidth="1"/>
    <col min="1033" max="1033" width="45.5703125" bestFit="1" customWidth="1"/>
    <col min="1281" max="1281" width="16.85546875" bestFit="1" customWidth="1"/>
    <col min="1282" max="1282" width="20.28515625" customWidth="1"/>
    <col min="1283" max="1283" width="13.7109375" bestFit="1" customWidth="1"/>
    <col min="1287" max="1287" width="13" customWidth="1"/>
    <col min="1289" max="1289" width="45.5703125" bestFit="1" customWidth="1"/>
    <col min="1537" max="1537" width="16.85546875" bestFit="1" customWidth="1"/>
    <col min="1538" max="1538" width="20.28515625" customWidth="1"/>
    <col min="1539" max="1539" width="13.7109375" bestFit="1" customWidth="1"/>
    <col min="1543" max="1543" width="13" customWidth="1"/>
    <col min="1545" max="1545" width="45.5703125" bestFit="1" customWidth="1"/>
    <col min="1793" max="1793" width="16.85546875" bestFit="1" customWidth="1"/>
    <col min="1794" max="1794" width="20.28515625" customWidth="1"/>
    <col min="1795" max="1795" width="13.7109375" bestFit="1" customWidth="1"/>
    <col min="1799" max="1799" width="13" customWidth="1"/>
    <col min="1801" max="1801" width="45.5703125" bestFit="1" customWidth="1"/>
    <col min="2049" max="2049" width="16.85546875" bestFit="1" customWidth="1"/>
    <col min="2050" max="2050" width="20.28515625" customWidth="1"/>
    <col min="2051" max="2051" width="13.7109375" bestFit="1" customWidth="1"/>
    <col min="2055" max="2055" width="13" customWidth="1"/>
    <col min="2057" max="2057" width="45.5703125" bestFit="1" customWidth="1"/>
    <col min="2305" max="2305" width="16.85546875" bestFit="1" customWidth="1"/>
    <col min="2306" max="2306" width="20.28515625" customWidth="1"/>
    <col min="2307" max="2307" width="13.7109375" bestFit="1" customWidth="1"/>
    <col min="2311" max="2311" width="13" customWidth="1"/>
    <col min="2313" max="2313" width="45.5703125" bestFit="1" customWidth="1"/>
    <col min="2561" max="2561" width="16.85546875" bestFit="1" customWidth="1"/>
    <col min="2562" max="2562" width="20.28515625" customWidth="1"/>
    <col min="2563" max="2563" width="13.7109375" bestFit="1" customWidth="1"/>
    <col min="2567" max="2567" width="13" customWidth="1"/>
    <col min="2569" max="2569" width="45.5703125" bestFit="1" customWidth="1"/>
    <col min="2817" max="2817" width="16.85546875" bestFit="1" customWidth="1"/>
    <col min="2818" max="2818" width="20.28515625" customWidth="1"/>
    <col min="2819" max="2819" width="13.7109375" bestFit="1" customWidth="1"/>
    <col min="2823" max="2823" width="13" customWidth="1"/>
    <col min="2825" max="2825" width="45.5703125" bestFit="1" customWidth="1"/>
    <col min="3073" max="3073" width="16.85546875" bestFit="1" customWidth="1"/>
    <col min="3074" max="3074" width="20.28515625" customWidth="1"/>
    <col min="3075" max="3075" width="13.7109375" bestFit="1" customWidth="1"/>
    <col min="3079" max="3079" width="13" customWidth="1"/>
    <col min="3081" max="3081" width="45.5703125" bestFit="1" customWidth="1"/>
    <col min="3329" max="3329" width="16.85546875" bestFit="1" customWidth="1"/>
    <col min="3330" max="3330" width="20.28515625" customWidth="1"/>
    <col min="3331" max="3331" width="13.7109375" bestFit="1" customWidth="1"/>
    <col min="3335" max="3335" width="13" customWidth="1"/>
    <col min="3337" max="3337" width="45.5703125" bestFit="1" customWidth="1"/>
    <col min="3585" max="3585" width="16.85546875" bestFit="1" customWidth="1"/>
    <col min="3586" max="3586" width="20.28515625" customWidth="1"/>
    <col min="3587" max="3587" width="13.7109375" bestFit="1" customWidth="1"/>
    <col min="3591" max="3591" width="13" customWidth="1"/>
    <col min="3593" max="3593" width="45.5703125" bestFit="1" customWidth="1"/>
    <col min="3841" max="3841" width="16.85546875" bestFit="1" customWidth="1"/>
    <col min="3842" max="3842" width="20.28515625" customWidth="1"/>
    <col min="3843" max="3843" width="13.7109375" bestFit="1" customWidth="1"/>
    <col min="3847" max="3847" width="13" customWidth="1"/>
    <col min="3849" max="3849" width="45.5703125" bestFit="1" customWidth="1"/>
    <col min="4097" max="4097" width="16.85546875" bestFit="1" customWidth="1"/>
    <col min="4098" max="4098" width="20.28515625" customWidth="1"/>
    <col min="4099" max="4099" width="13.7109375" bestFit="1" customWidth="1"/>
    <col min="4103" max="4103" width="13" customWidth="1"/>
    <col min="4105" max="4105" width="45.5703125" bestFit="1" customWidth="1"/>
    <col min="4353" max="4353" width="16.85546875" bestFit="1" customWidth="1"/>
    <col min="4354" max="4354" width="20.28515625" customWidth="1"/>
    <col min="4355" max="4355" width="13.7109375" bestFit="1" customWidth="1"/>
    <col min="4359" max="4359" width="13" customWidth="1"/>
    <col min="4361" max="4361" width="45.5703125" bestFit="1" customWidth="1"/>
    <col min="4609" max="4609" width="16.85546875" bestFit="1" customWidth="1"/>
    <col min="4610" max="4610" width="20.28515625" customWidth="1"/>
    <col min="4611" max="4611" width="13.7109375" bestFit="1" customWidth="1"/>
    <col min="4615" max="4615" width="13" customWidth="1"/>
    <col min="4617" max="4617" width="45.5703125" bestFit="1" customWidth="1"/>
    <col min="4865" max="4865" width="16.85546875" bestFit="1" customWidth="1"/>
    <col min="4866" max="4866" width="20.28515625" customWidth="1"/>
    <col min="4867" max="4867" width="13.7109375" bestFit="1" customWidth="1"/>
    <col min="4871" max="4871" width="13" customWidth="1"/>
    <col min="4873" max="4873" width="45.5703125" bestFit="1" customWidth="1"/>
    <col min="5121" max="5121" width="16.85546875" bestFit="1" customWidth="1"/>
    <col min="5122" max="5122" width="20.28515625" customWidth="1"/>
    <col min="5123" max="5123" width="13.7109375" bestFit="1" customWidth="1"/>
    <col min="5127" max="5127" width="13" customWidth="1"/>
    <col min="5129" max="5129" width="45.5703125" bestFit="1" customWidth="1"/>
    <col min="5377" max="5377" width="16.85546875" bestFit="1" customWidth="1"/>
    <col min="5378" max="5378" width="20.28515625" customWidth="1"/>
    <col min="5379" max="5379" width="13.7109375" bestFit="1" customWidth="1"/>
    <col min="5383" max="5383" width="13" customWidth="1"/>
    <col min="5385" max="5385" width="45.5703125" bestFit="1" customWidth="1"/>
    <col min="5633" max="5633" width="16.85546875" bestFit="1" customWidth="1"/>
    <col min="5634" max="5634" width="20.28515625" customWidth="1"/>
    <col min="5635" max="5635" width="13.7109375" bestFit="1" customWidth="1"/>
    <col min="5639" max="5639" width="13" customWidth="1"/>
    <col min="5641" max="5641" width="45.5703125" bestFit="1" customWidth="1"/>
    <col min="5889" max="5889" width="16.85546875" bestFit="1" customWidth="1"/>
    <col min="5890" max="5890" width="20.28515625" customWidth="1"/>
    <col min="5891" max="5891" width="13.7109375" bestFit="1" customWidth="1"/>
    <col min="5895" max="5895" width="13" customWidth="1"/>
    <col min="5897" max="5897" width="45.5703125" bestFit="1" customWidth="1"/>
    <col min="6145" max="6145" width="16.85546875" bestFit="1" customWidth="1"/>
    <col min="6146" max="6146" width="20.28515625" customWidth="1"/>
    <col min="6147" max="6147" width="13.7109375" bestFit="1" customWidth="1"/>
    <col min="6151" max="6151" width="13" customWidth="1"/>
    <col min="6153" max="6153" width="45.5703125" bestFit="1" customWidth="1"/>
    <col min="6401" max="6401" width="16.85546875" bestFit="1" customWidth="1"/>
    <col min="6402" max="6402" width="20.28515625" customWidth="1"/>
    <col min="6403" max="6403" width="13.7109375" bestFit="1" customWidth="1"/>
    <col min="6407" max="6407" width="13" customWidth="1"/>
    <col min="6409" max="6409" width="45.5703125" bestFit="1" customWidth="1"/>
    <col min="6657" max="6657" width="16.85546875" bestFit="1" customWidth="1"/>
    <col min="6658" max="6658" width="20.28515625" customWidth="1"/>
    <col min="6659" max="6659" width="13.7109375" bestFit="1" customWidth="1"/>
    <col min="6663" max="6663" width="13" customWidth="1"/>
    <col min="6665" max="6665" width="45.5703125" bestFit="1" customWidth="1"/>
    <col min="6913" max="6913" width="16.85546875" bestFit="1" customWidth="1"/>
    <col min="6914" max="6914" width="20.28515625" customWidth="1"/>
    <col min="6915" max="6915" width="13.7109375" bestFit="1" customWidth="1"/>
    <col min="6919" max="6919" width="13" customWidth="1"/>
    <col min="6921" max="6921" width="45.5703125" bestFit="1" customWidth="1"/>
    <col min="7169" max="7169" width="16.85546875" bestFit="1" customWidth="1"/>
    <col min="7170" max="7170" width="20.28515625" customWidth="1"/>
    <col min="7171" max="7171" width="13.7109375" bestFit="1" customWidth="1"/>
    <col min="7175" max="7175" width="13" customWidth="1"/>
    <col min="7177" max="7177" width="45.5703125" bestFit="1" customWidth="1"/>
    <col min="7425" max="7425" width="16.85546875" bestFit="1" customWidth="1"/>
    <col min="7426" max="7426" width="20.28515625" customWidth="1"/>
    <col min="7427" max="7427" width="13.7109375" bestFit="1" customWidth="1"/>
    <col min="7431" max="7431" width="13" customWidth="1"/>
    <col min="7433" max="7433" width="45.5703125" bestFit="1" customWidth="1"/>
    <col min="7681" max="7681" width="16.85546875" bestFit="1" customWidth="1"/>
    <col min="7682" max="7682" width="20.28515625" customWidth="1"/>
    <col min="7683" max="7683" width="13.7109375" bestFit="1" customWidth="1"/>
    <col min="7687" max="7687" width="13" customWidth="1"/>
    <col min="7689" max="7689" width="45.5703125" bestFit="1" customWidth="1"/>
    <col min="7937" max="7937" width="16.85546875" bestFit="1" customWidth="1"/>
    <col min="7938" max="7938" width="20.28515625" customWidth="1"/>
    <col min="7939" max="7939" width="13.7109375" bestFit="1" customWidth="1"/>
    <col min="7943" max="7943" width="13" customWidth="1"/>
    <col min="7945" max="7945" width="45.5703125" bestFit="1" customWidth="1"/>
    <col min="8193" max="8193" width="16.85546875" bestFit="1" customWidth="1"/>
    <col min="8194" max="8194" width="20.28515625" customWidth="1"/>
    <col min="8195" max="8195" width="13.7109375" bestFit="1" customWidth="1"/>
    <col min="8199" max="8199" width="13" customWidth="1"/>
    <col min="8201" max="8201" width="45.5703125" bestFit="1" customWidth="1"/>
    <col min="8449" max="8449" width="16.85546875" bestFit="1" customWidth="1"/>
    <col min="8450" max="8450" width="20.28515625" customWidth="1"/>
    <col min="8451" max="8451" width="13.7109375" bestFit="1" customWidth="1"/>
    <col min="8455" max="8455" width="13" customWidth="1"/>
    <col min="8457" max="8457" width="45.5703125" bestFit="1" customWidth="1"/>
    <col min="8705" max="8705" width="16.85546875" bestFit="1" customWidth="1"/>
    <col min="8706" max="8706" width="20.28515625" customWidth="1"/>
    <col min="8707" max="8707" width="13.7109375" bestFit="1" customWidth="1"/>
    <col min="8711" max="8711" width="13" customWidth="1"/>
    <col min="8713" max="8713" width="45.5703125" bestFit="1" customWidth="1"/>
    <col min="8961" max="8961" width="16.85546875" bestFit="1" customWidth="1"/>
    <col min="8962" max="8962" width="20.28515625" customWidth="1"/>
    <col min="8963" max="8963" width="13.7109375" bestFit="1" customWidth="1"/>
    <col min="8967" max="8967" width="13" customWidth="1"/>
    <col min="8969" max="8969" width="45.5703125" bestFit="1" customWidth="1"/>
    <col min="9217" max="9217" width="16.85546875" bestFit="1" customWidth="1"/>
    <col min="9218" max="9218" width="20.28515625" customWidth="1"/>
    <col min="9219" max="9219" width="13.7109375" bestFit="1" customWidth="1"/>
    <col min="9223" max="9223" width="13" customWidth="1"/>
    <col min="9225" max="9225" width="45.5703125" bestFit="1" customWidth="1"/>
    <col min="9473" max="9473" width="16.85546875" bestFit="1" customWidth="1"/>
    <col min="9474" max="9474" width="20.28515625" customWidth="1"/>
    <col min="9475" max="9475" width="13.7109375" bestFit="1" customWidth="1"/>
    <col min="9479" max="9479" width="13" customWidth="1"/>
    <col min="9481" max="9481" width="45.5703125" bestFit="1" customWidth="1"/>
    <col min="9729" max="9729" width="16.85546875" bestFit="1" customWidth="1"/>
    <col min="9730" max="9730" width="20.28515625" customWidth="1"/>
    <col min="9731" max="9731" width="13.7109375" bestFit="1" customWidth="1"/>
    <col min="9735" max="9735" width="13" customWidth="1"/>
    <col min="9737" max="9737" width="45.5703125" bestFit="1" customWidth="1"/>
    <col min="9985" max="9985" width="16.85546875" bestFit="1" customWidth="1"/>
    <col min="9986" max="9986" width="20.28515625" customWidth="1"/>
    <col min="9987" max="9987" width="13.7109375" bestFit="1" customWidth="1"/>
    <col min="9991" max="9991" width="13" customWidth="1"/>
    <col min="9993" max="9993" width="45.5703125" bestFit="1" customWidth="1"/>
    <col min="10241" max="10241" width="16.85546875" bestFit="1" customWidth="1"/>
    <col min="10242" max="10242" width="20.28515625" customWidth="1"/>
    <col min="10243" max="10243" width="13.7109375" bestFit="1" customWidth="1"/>
    <col min="10247" max="10247" width="13" customWidth="1"/>
    <col min="10249" max="10249" width="45.5703125" bestFit="1" customWidth="1"/>
    <col min="10497" max="10497" width="16.85546875" bestFit="1" customWidth="1"/>
    <col min="10498" max="10498" width="20.28515625" customWidth="1"/>
    <col min="10499" max="10499" width="13.7109375" bestFit="1" customWidth="1"/>
    <col min="10503" max="10503" width="13" customWidth="1"/>
    <col min="10505" max="10505" width="45.5703125" bestFit="1" customWidth="1"/>
    <col min="10753" max="10753" width="16.85546875" bestFit="1" customWidth="1"/>
    <col min="10754" max="10754" width="20.28515625" customWidth="1"/>
    <col min="10755" max="10755" width="13.7109375" bestFit="1" customWidth="1"/>
    <col min="10759" max="10759" width="13" customWidth="1"/>
    <col min="10761" max="10761" width="45.5703125" bestFit="1" customWidth="1"/>
    <col min="11009" max="11009" width="16.85546875" bestFit="1" customWidth="1"/>
    <col min="11010" max="11010" width="20.28515625" customWidth="1"/>
    <col min="11011" max="11011" width="13.7109375" bestFit="1" customWidth="1"/>
    <col min="11015" max="11015" width="13" customWidth="1"/>
    <col min="11017" max="11017" width="45.5703125" bestFit="1" customWidth="1"/>
    <col min="11265" max="11265" width="16.85546875" bestFit="1" customWidth="1"/>
    <col min="11266" max="11266" width="20.28515625" customWidth="1"/>
    <col min="11267" max="11267" width="13.7109375" bestFit="1" customWidth="1"/>
    <col min="11271" max="11271" width="13" customWidth="1"/>
    <col min="11273" max="11273" width="45.5703125" bestFit="1" customWidth="1"/>
    <col min="11521" max="11521" width="16.85546875" bestFit="1" customWidth="1"/>
    <col min="11522" max="11522" width="20.28515625" customWidth="1"/>
    <col min="11523" max="11523" width="13.7109375" bestFit="1" customWidth="1"/>
    <col min="11527" max="11527" width="13" customWidth="1"/>
    <col min="11529" max="11529" width="45.5703125" bestFit="1" customWidth="1"/>
    <col min="11777" max="11777" width="16.85546875" bestFit="1" customWidth="1"/>
    <col min="11778" max="11778" width="20.28515625" customWidth="1"/>
    <col min="11779" max="11779" width="13.7109375" bestFit="1" customWidth="1"/>
    <col min="11783" max="11783" width="13" customWidth="1"/>
    <col min="11785" max="11785" width="45.5703125" bestFit="1" customWidth="1"/>
    <col min="12033" max="12033" width="16.85546875" bestFit="1" customWidth="1"/>
    <col min="12034" max="12034" width="20.28515625" customWidth="1"/>
    <col min="12035" max="12035" width="13.7109375" bestFit="1" customWidth="1"/>
    <col min="12039" max="12039" width="13" customWidth="1"/>
    <col min="12041" max="12041" width="45.5703125" bestFit="1" customWidth="1"/>
    <col min="12289" max="12289" width="16.85546875" bestFit="1" customWidth="1"/>
    <col min="12290" max="12290" width="20.28515625" customWidth="1"/>
    <col min="12291" max="12291" width="13.7109375" bestFit="1" customWidth="1"/>
    <col min="12295" max="12295" width="13" customWidth="1"/>
    <col min="12297" max="12297" width="45.5703125" bestFit="1" customWidth="1"/>
    <col min="12545" max="12545" width="16.85546875" bestFit="1" customWidth="1"/>
    <col min="12546" max="12546" width="20.28515625" customWidth="1"/>
    <col min="12547" max="12547" width="13.7109375" bestFit="1" customWidth="1"/>
    <col min="12551" max="12551" width="13" customWidth="1"/>
    <col min="12553" max="12553" width="45.5703125" bestFit="1" customWidth="1"/>
    <col min="12801" max="12801" width="16.85546875" bestFit="1" customWidth="1"/>
    <col min="12802" max="12802" width="20.28515625" customWidth="1"/>
    <col min="12803" max="12803" width="13.7109375" bestFit="1" customWidth="1"/>
    <col min="12807" max="12807" width="13" customWidth="1"/>
    <col min="12809" max="12809" width="45.5703125" bestFit="1" customWidth="1"/>
    <col min="13057" max="13057" width="16.85546875" bestFit="1" customWidth="1"/>
    <col min="13058" max="13058" width="20.28515625" customWidth="1"/>
    <col min="13059" max="13059" width="13.7109375" bestFit="1" customWidth="1"/>
    <col min="13063" max="13063" width="13" customWidth="1"/>
    <col min="13065" max="13065" width="45.5703125" bestFit="1" customWidth="1"/>
    <col min="13313" max="13313" width="16.85546875" bestFit="1" customWidth="1"/>
    <col min="13314" max="13314" width="20.28515625" customWidth="1"/>
    <col min="13315" max="13315" width="13.7109375" bestFit="1" customWidth="1"/>
    <col min="13319" max="13319" width="13" customWidth="1"/>
    <col min="13321" max="13321" width="45.5703125" bestFit="1" customWidth="1"/>
    <col min="13569" max="13569" width="16.85546875" bestFit="1" customWidth="1"/>
    <col min="13570" max="13570" width="20.28515625" customWidth="1"/>
    <col min="13571" max="13571" width="13.7109375" bestFit="1" customWidth="1"/>
    <col min="13575" max="13575" width="13" customWidth="1"/>
    <col min="13577" max="13577" width="45.5703125" bestFit="1" customWidth="1"/>
    <col min="13825" max="13825" width="16.85546875" bestFit="1" customWidth="1"/>
    <col min="13826" max="13826" width="20.28515625" customWidth="1"/>
    <col min="13827" max="13827" width="13.7109375" bestFit="1" customWidth="1"/>
    <col min="13831" max="13831" width="13" customWidth="1"/>
    <col min="13833" max="13833" width="45.5703125" bestFit="1" customWidth="1"/>
    <col min="14081" max="14081" width="16.85546875" bestFit="1" customWidth="1"/>
    <col min="14082" max="14082" width="20.28515625" customWidth="1"/>
    <col min="14083" max="14083" width="13.7109375" bestFit="1" customWidth="1"/>
    <col min="14087" max="14087" width="13" customWidth="1"/>
    <col min="14089" max="14089" width="45.5703125" bestFit="1" customWidth="1"/>
    <col min="14337" max="14337" width="16.85546875" bestFit="1" customWidth="1"/>
    <col min="14338" max="14338" width="20.28515625" customWidth="1"/>
    <col min="14339" max="14339" width="13.7109375" bestFit="1" customWidth="1"/>
    <col min="14343" max="14343" width="13" customWidth="1"/>
    <col min="14345" max="14345" width="45.5703125" bestFit="1" customWidth="1"/>
    <col min="14593" max="14593" width="16.85546875" bestFit="1" customWidth="1"/>
    <col min="14594" max="14594" width="20.28515625" customWidth="1"/>
    <col min="14595" max="14595" width="13.7109375" bestFit="1" customWidth="1"/>
    <col min="14599" max="14599" width="13" customWidth="1"/>
    <col min="14601" max="14601" width="45.5703125" bestFit="1" customWidth="1"/>
    <col min="14849" max="14849" width="16.85546875" bestFit="1" customWidth="1"/>
    <col min="14850" max="14850" width="20.28515625" customWidth="1"/>
    <col min="14851" max="14851" width="13.7109375" bestFit="1" customWidth="1"/>
    <col min="14855" max="14855" width="13" customWidth="1"/>
    <col min="14857" max="14857" width="45.5703125" bestFit="1" customWidth="1"/>
    <col min="15105" max="15105" width="16.85546875" bestFit="1" customWidth="1"/>
    <col min="15106" max="15106" width="20.28515625" customWidth="1"/>
    <col min="15107" max="15107" width="13.7109375" bestFit="1" customWidth="1"/>
    <col min="15111" max="15111" width="13" customWidth="1"/>
    <col min="15113" max="15113" width="45.5703125" bestFit="1" customWidth="1"/>
    <col min="15361" max="15361" width="16.85546875" bestFit="1" customWidth="1"/>
    <col min="15362" max="15362" width="20.28515625" customWidth="1"/>
    <col min="15363" max="15363" width="13.7109375" bestFit="1" customWidth="1"/>
    <col min="15367" max="15367" width="13" customWidth="1"/>
    <col min="15369" max="15369" width="45.5703125" bestFit="1" customWidth="1"/>
    <col min="15617" max="15617" width="16.85546875" bestFit="1" customWidth="1"/>
    <col min="15618" max="15618" width="20.28515625" customWidth="1"/>
    <col min="15619" max="15619" width="13.7109375" bestFit="1" customWidth="1"/>
    <col min="15623" max="15623" width="13" customWidth="1"/>
    <col min="15625" max="15625" width="45.5703125" bestFit="1" customWidth="1"/>
    <col min="15873" max="15873" width="16.85546875" bestFit="1" customWidth="1"/>
    <col min="15874" max="15874" width="20.28515625" customWidth="1"/>
    <col min="15875" max="15875" width="13.7109375" bestFit="1" customWidth="1"/>
    <col min="15879" max="15879" width="13" customWidth="1"/>
    <col min="15881" max="15881" width="45.5703125" bestFit="1" customWidth="1"/>
    <col min="16129" max="16129" width="16.85546875" bestFit="1" customWidth="1"/>
    <col min="16130" max="16130" width="20.28515625" customWidth="1"/>
    <col min="16131" max="16131" width="13.7109375" bestFit="1" customWidth="1"/>
    <col min="16135" max="16135" width="13" customWidth="1"/>
    <col min="16137" max="16137" width="45.5703125" bestFit="1" customWidth="1"/>
  </cols>
  <sheetData>
    <row r="1" spans="1:14" ht="150" x14ac:dyDescent="0.25">
      <c r="A1" s="223" t="s">
        <v>948</v>
      </c>
    </row>
    <row r="3" spans="1:14" x14ac:dyDescent="0.25">
      <c r="A3" s="61" t="s">
        <v>606</v>
      </c>
    </row>
    <row r="4" spans="1:14" x14ac:dyDescent="0.25">
      <c r="A4" s="10" t="s">
        <v>932</v>
      </c>
    </row>
    <row r="5" spans="1:14" ht="15.75" thickBot="1" x14ac:dyDescent="0.3"/>
    <row r="6" spans="1:14" ht="15.75" thickBot="1" x14ac:dyDescent="0.3">
      <c r="A6" s="429" t="s">
        <v>607</v>
      </c>
      <c r="B6" s="430"/>
    </row>
    <row r="7" spans="1:14" ht="15.75" thickBot="1" x14ac:dyDescent="0.3">
      <c r="A7" s="62" t="s">
        <v>933</v>
      </c>
      <c r="B7" s="65">
        <v>289.86735579377233</v>
      </c>
    </row>
    <row r="8" spans="1:14" ht="15.75" thickBot="1" x14ac:dyDescent="0.3">
      <c r="A8" s="62" t="s">
        <v>934</v>
      </c>
      <c r="B8" s="65">
        <v>586.9827666701816</v>
      </c>
    </row>
    <row r="9" spans="1:14" ht="15.75" thickBot="1" x14ac:dyDescent="0.3">
      <c r="A9" s="62" t="s">
        <v>935</v>
      </c>
      <c r="B9" s="65">
        <v>274.84297877341203</v>
      </c>
    </row>
    <row r="10" spans="1:14" ht="15.75" thickBot="1" x14ac:dyDescent="0.3">
      <c r="A10" s="62"/>
      <c r="B10" s="64"/>
    </row>
    <row r="11" spans="1:14" ht="15.75" thickBot="1" x14ac:dyDescent="0.3">
      <c r="A11" s="62"/>
      <c r="B11" s="64"/>
    </row>
    <row r="12" spans="1:14" ht="15.75" thickBot="1" x14ac:dyDescent="0.3"/>
    <row r="13" spans="1:14" ht="25.5" customHeight="1" thickBot="1" x14ac:dyDescent="0.3">
      <c r="A13" s="431" t="s">
        <v>612</v>
      </c>
      <c r="B13" s="432"/>
    </row>
    <row r="14" spans="1:14" ht="15.75" thickBot="1" x14ac:dyDescent="0.3">
      <c r="A14" s="62" t="s">
        <v>613</v>
      </c>
      <c r="B14" s="65">
        <v>0</v>
      </c>
    </row>
    <row r="15" spans="1:14" ht="27" thickBot="1" x14ac:dyDescent="0.3">
      <c r="A15" s="66" t="s">
        <v>820</v>
      </c>
      <c r="B15" s="65">
        <v>0</v>
      </c>
      <c r="G15" s="198"/>
      <c r="H15" s="198"/>
      <c r="I15" s="198"/>
      <c r="J15" s="199"/>
      <c r="K15" s="198"/>
      <c r="L15" s="198"/>
      <c r="M15" s="198"/>
      <c r="N15" s="198"/>
    </row>
    <row r="16" spans="1:14" ht="15.75" thickBot="1" x14ac:dyDescent="0.3">
      <c r="G16" s="198"/>
      <c r="H16" s="198"/>
      <c r="I16" s="198"/>
      <c r="J16" s="198"/>
      <c r="K16" s="198"/>
      <c r="L16" s="198"/>
      <c r="M16" s="198"/>
      <c r="N16" s="198"/>
    </row>
    <row r="17" spans="1:14" ht="16.5" thickBot="1" x14ac:dyDescent="0.3">
      <c r="A17" s="449"/>
      <c r="B17" s="424"/>
      <c r="C17" s="425"/>
      <c r="G17" s="198"/>
      <c r="H17" s="198"/>
      <c r="I17" s="198"/>
      <c r="J17" s="198"/>
      <c r="K17" s="198"/>
      <c r="L17" s="198"/>
      <c r="M17" s="198"/>
      <c r="N17" s="198"/>
    </row>
    <row r="18" spans="1:14" x14ac:dyDescent="0.25">
      <c r="A18" s="426"/>
      <c r="B18" s="427"/>
      <c r="C18" s="428"/>
      <c r="G18" s="198"/>
      <c r="H18" s="198"/>
      <c r="I18" s="234"/>
      <c r="J18" s="198"/>
      <c r="K18" s="198"/>
      <c r="L18" s="198"/>
      <c r="M18" s="198"/>
      <c r="N18" s="198"/>
    </row>
    <row r="19" spans="1:14" x14ac:dyDescent="0.25">
      <c r="A19" s="417"/>
      <c r="B19" s="418"/>
      <c r="C19" s="419"/>
      <c r="G19" s="198"/>
      <c r="H19" s="198"/>
      <c r="I19" s="234"/>
      <c r="J19" s="198"/>
      <c r="K19" s="198"/>
      <c r="L19" s="198"/>
      <c r="M19" s="198"/>
      <c r="N19" s="198"/>
    </row>
    <row r="20" spans="1:14" x14ac:dyDescent="0.25">
      <c r="A20" s="417"/>
      <c r="B20" s="418"/>
      <c r="C20" s="419"/>
      <c r="G20" s="198"/>
      <c r="H20" s="198"/>
      <c r="I20" s="235"/>
      <c r="J20" s="198"/>
      <c r="K20" s="198"/>
      <c r="L20" s="198"/>
      <c r="M20" s="198"/>
      <c r="N20" s="198"/>
    </row>
    <row r="21" spans="1:14" x14ac:dyDescent="0.25">
      <c r="A21" s="417"/>
      <c r="B21" s="418"/>
      <c r="C21" s="419"/>
      <c r="G21" s="198"/>
      <c r="H21" s="198"/>
      <c r="I21" s="234"/>
      <c r="J21" s="198"/>
      <c r="K21" s="198"/>
      <c r="L21" s="198"/>
      <c r="M21" s="198"/>
      <c r="N21" s="198"/>
    </row>
    <row r="22" spans="1:14" ht="15.75" thickBot="1" x14ac:dyDescent="0.3">
      <c r="A22" s="420" t="s">
        <v>936</v>
      </c>
      <c r="B22" s="421"/>
      <c r="C22" s="422"/>
      <c r="G22" s="198"/>
      <c r="H22" s="198"/>
      <c r="I22" s="234"/>
      <c r="J22" s="198"/>
      <c r="K22" s="198"/>
      <c r="L22" s="198"/>
      <c r="M22" s="198"/>
      <c r="N22" s="198"/>
    </row>
    <row r="23" spans="1:14" ht="15.75" thickBot="1" x14ac:dyDescent="0.3">
      <c r="A23" s="67"/>
      <c r="B23" s="64"/>
      <c r="C23" s="236" t="s">
        <v>618</v>
      </c>
      <c r="G23" s="198"/>
      <c r="H23" s="198"/>
      <c r="I23" s="234"/>
      <c r="J23" s="198"/>
      <c r="K23" s="198"/>
      <c r="L23" s="198"/>
      <c r="M23" s="198"/>
      <c r="N23" s="198"/>
    </row>
    <row r="24" spans="1:14" ht="15.75" thickBot="1" x14ac:dyDescent="0.3">
      <c r="A24" s="62" t="s">
        <v>937</v>
      </c>
      <c r="B24" s="69" t="s">
        <v>938</v>
      </c>
      <c r="C24" s="237">
        <v>190.35737002901101</v>
      </c>
      <c r="G24" s="199"/>
      <c r="H24" s="198"/>
      <c r="I24" s="234"/>
      <c r="J24" s="198"/>
      <c r="K24" s="198"/>
      <c r="L24" s="198"/>
      <c r="M24" s="198"/>
      <c r="N24" s="198"/>
    </row>
    <row r="25" spans="1:14" ht="15.75" thickBot="1" x14ac:dyDescent="0.3">
      <c r="A25" s="62"/>
      <c r="B25" s="69" t="s">
        <v>939</v>
      </c>
      <c r="C25" s="238">
        <f>248175.474328181/6592</f>
        <v>37.647978508522606</v>
      </c>
      <c r="G25" s="199"/>
      <c r="H25" s="198"/>
      <c r="I25" s="234"/>
      <c r="J25" s="198"/>
      <c r="K25" s="198"/>
      <c r="L25" s="198"/>
      <c r="M25" s="198"/>
      <c r="N25" s="198"/>
    </row>
    <row r="26" spans="1:14" ht="15.75" thickBot="1" x14ac:dyDescent="0.3">
      <c r="A26" s="62"/>
      <c r="B26" s="69" t="s">
        <v>934</v>
      </c>
      <c r="C26" s="201">
        <v>10.388550178729954</v>
      </c>
      <c r="G26" s="198"/>
      <c r="H26" s="198"/>
      <c r="I26" s="234"/>
      <c r="J26" s="198"/>
      <c r="K26" s="198"/>
      <c r="L26" s="198"/>
      <c r="M26" s="198"/>
      <c r="N26" s="198"/>
    </row>
    <row r="27" spans="1:14" ht="15.75" thickBot="1" x14ac:dyDescent="0.3">
      <c r="A27" s="62"/>
      <c r="B27" s="69" t="s">
        <v>940</v>
      </c>
      <c r="C27" s="237">
        <v>81.89178284525498</v>
      </c>
      <c r="G27" s="234"/>
      <c r="H27" s="198"/>
      <c r="I27" s="234"/>
      <c r="J27" s="198"/>
      <c r="K27" s="198"/>
      <c r="L27" s="198"/>
      <c r="M27" s="198"/>
      <c r="N27" s="198"/>
    </row>
    <row r="28" spans="1:14" ht="15.75" thickBot="1" x14ac:dyDescent="0.3">
      <c r="A28" s="62"/>
      <c r="B28" s="69" t="s">
        <v>941</v>
      </c>
      <c r="C28" s="237">
        <f>21764.6262248758/6592</f>
        <v>3.3016726676085861</v>
      </c>
      <c r="G28" s="234"/>
      <c r="H28" s="198"/>
      <c r="I28" s="198"/>
      <c r="J28" s="198"/>
      <c r="K28" s="198"/>
      <c r="L28" s="198"/>
      <c r="M28" s="198"/>
      <c r="N28" s="198"/>
    </row>
    <row r="29" spans="1:14" ht="15.75" thickBot="1" x14ac:dyDescent="0.3">
      <c r="A29" s="62" t="s">
        <v>942</v>
      </c>
      <c r="B29" s="69" t="s">
        <v>943</v>
      </c>
      <c r="C29" s="237">
        <f>340861.5/6592</f>
        <v>51.708358616504853</v>
      </c>
      <c r="G29" s="234"/>
      <c r="H29" s="198"/>
      <c r="I29" s="198"/>
      <c r="J29" s="198"/>
      <c r="K29" s="198"/>
      <c r="L29" s="198"/>
      <c r="M29" s="198"/>
      <c r="N29" s="198"/>
    </row>
    <row r="30" spans="1:14" ht="15.75" thickBot="1" x14ac:dyDescent="0.3">
      <c r="A30" s="62"/>
      <c r="B30" s="69" t="s">
        <v>653</v>
      </c>
      <c r="C30" s="237">
        <f>23889.810172736/6592</f>
        <v>3.6240610092135923</v>
      </c>
      <c r="G30" s="234"/>
      <c r="H30" s="198"/>
      <c r="I30" s="198"/>
      <c r="J30" s="198"/>
      <c r="K30" s="198"/>
      <c r="L30" s="198"/>
      <c r="M30" s="198"/>
      <c r="N30" s="198"/>
    </row>
    <row r="31" spans="1:14" ht="15.75" thickBot="1" x14ac:dyDescent="0.3">
      <c r="A31" s="62"/>
      <c r="B31" s="69" t="s">
        <v>944</v>
      </c>
      <c r="C31" s="237">
        <v>64.717470845825432</v>
      </c>
      <c r="G31" s="234"/>
      <c r="H31" s="198"/>
      <c r="I31" s="198"/>
      <c r="J31" s="198"/>
      <c r="K31" s="198"/>
      <c r="L31" s="198"/>
      <c r="M31" s="198"/>
      <c r="N31" s="198"/>
    </row>
    <row r="32" spans="1:14" ht="15.75" thickBot="1" x14ac:dyDescent="0.3">
      <c r="A32" s="62" t="s">
        <v>945</v>
      </c>
      <c r="B32" s="69"/>
      <c r="C32" s="237">
        <v>133.09117341020132</v>
      </c>
      <c r="G32" s="198"/>
      <c r="H32" s="199"/>
      <c r="I32" s="198"/>
      <c r="J32" s="198"/>
      <c r="K32" s="198"/>
      <c r="L32" s="198"/>
      <c r="M32" s="198"/>
      <c r="N32" s="198"/>
    </row>
    <row r="33" spans="1:14" ht="15.75" thickBot="1" x14ac:dyDescent="0.3">
      <c r="A33" s="72" t="s">
        <v>125</v>
      </c>
      <c r="B33" s="69"/>
      <c r="C33" s="239">
        <f>SUM(C24:C32)</f>
        <v>576.72841811087244</v>
      </c>
      <c r="F33" s="10" t="s">
        <v>932</v>
      </c>
      <c r="G33" s="198"/>
      <c r="H33" s="198"/>
      <c r="I33" s="198"/>
      <c r="J33" s="198"/>
      <c r="K33" s="198"/>
      <c r="L33" s="198"/>
      <c r="M33" s="198"/>
      <c r="N33" s="198"/>
    </row>
    <row r="34" spans="1:14" ht="15.75" thickBot="1" x14ac:dyDescent="0.3">
      <c r="G34" s="198"/>
      <c r="H34" s="198"/>
      <c r="I34" s="198"/>
      <c r="J34" s="198"/>
      <c r="K34" s="198"/>
      <c r="L34" s="198"/>
      <c r="M34" s="198"/>
      <c r="N34" s="198"/>
    </row>
    <row r="35" spans="1:14" ht="16.5" thickBot="1" x14ac:dyDescent="0.3">
      <c r="A35" s="449"/>
      <c r="B35" s="424"/>
      <c r="C35" s="425"/>
      <c r="G35" s="198"/>
      <c r="H35" s="198"/>
      <c r="I35" s="198"/>
      <c r="J35" s="198"/>
      <c r="K35" s="198"/>
      <c r="L35" s="198"/>
      <c r="M35" s="198"/>
      <c r="N35" s="198"/>
    </row>
    <row r="36" spans="1:14" x14ac:dyDescent="0.25">
      <c r="A36" s="426"/>
      <c r="B36" s="427"/>
      <c r="C36" s="428"/>
      <c r="G36" s="198"/>
      <c r="H36" s="198"/>
      <c r="I36" s="198"/>
      <c r="J36" s="198"/>
      <c r="K36" s="198"/>
      <c r="L36" s="198"/>
      <c r="M36" s="198"/>
      <c r="N36" s="198"/>
    </row>
    <row r="37" spans="1:14" x14ac:dyDescent="0.25">
      <c r="A37" s="417"/>
      <c r="B37" s="418"/>
      <c r="C37" s="419"/>
    </row>
    <row r="38" spans="1:14" x14ac:dyDescent="0.25">
      <c r="A38" s="417"/>
      <c r="B38" s="418"/>
      <c r="C38" s="419"/>
    </row>
    <row r="39" spans="1:14" x14ac:dyDescent="0.25">
      <c r="A39" s="417"/>
      <c r="B39" s="418"/>
      <c r="C39" s="419"/>
    </row>
    <row r="40" spans="1:14" ht="15.75" thickBot="1" x14ac:dyDescent="0.3">
      <c r="A40" s="420"/>
      <c r="B40" s="421"/>
      <c r="C40" s="422"/>
    </row>
    <row r="41" spans="1:14" ht="15.75" thickBot="1" x14ac:dyDescent="0.3">
      <c r="A41" s="67"/>
      <c r="B41" s="64"/>
      <c r="C41" s="68"/>
    </row>
    <row r="42" spans="1:14" ht="15.75" thickBot="1" x14ac:dyDescent="0.3">
      <c r="A42" s="62"/>
      <c r="B42" s="69"/>
      <c r="C42" s="70"/>
    </row>
    <row r="43" spans="1:14" ht="15.75" thickBot="1" x14ac:dyDescent="0.3">
      <c r="A43" s="62"/>
      <c r="B43" s="69"/>
      <c r="C43" s="70"/>
    </row>
    <row r="44" spans="1:14" ht="15.75" thickBot="1" x14ac:dyDescent="0.3">
      <c r="A44" s="62"/>
      <c r="B44" s="69"/>
      <c r="C44" s="71"/>
    </row>
    <row r="45" spans="1:14" ht="15.75" thickBot="1" x14ac:dyDescent="0.3">
      <c r="A45" s="62"/>
      <c r="B45" s="69"/>
      <c r="C45" s="70"/>
    </row>
    <row r="46" spans="1:14" ht="15.75" thickBot="1" x14ac:dyDescent="0.3">
      <c r="A46" s="62"/>
      <c r="B46" s="69"/>
      <c r="C46" s="70"/>
    </row>
    <row r="47" spans="1:14" ht="15.75" thickBot="1" x14ac:dyDescent="0.3">
      <c r="A47" s="62"/>
      <c r="B47" s="69"/>
      <c r="C47" s="71"/>
    </row>
    <row r="48" spans="1:14" ht="15.75" thickBot="1" x14ac:dyDescent="0.3">
      <c r="A48" s="62"/>
      <c r="B48" s="69"/>
      <c r="C48" s="70"/>
    </row>
    <row r="49" spans="1:3" ht="15.75" thickBot="1" x14ac:dyDescent="0.3">
      <c r="A49" s="62"/>
      <c r="B49" s="69"/>
      <c r="C49" s="70"/>
    </row>
    <row r="50" spans="1:3" ht="15.75" thickBot="1" x14ac:dyDescent="0.3">
      <c r="A50" s="62"/>
      <c r="B50" s="69"/>
      <c r="C50" s="71"/>
    </row>
    <row r="51" spans="1:3" ht="15.75" thickBot="1" x14ac:dyDescent="0.3">
      <c r="A51" s="72"/>
      <c r="B51" s="69"/>
      <c r="C51" s="73"/>
    </row>
  </sheetData>
  <mergeCells count="14">
    <mergeCell ref="A20:C20"/>
    <mergeCell ref="A6:B6"/>
    <mergeCell ref="A13:B13"/>
    <mergeCell ref="A17:C17"/>
    <mergeCell ref="A18:C18"/>
    <mergeCell ref="A19:C19"/>
    <mergeCell ref="A39:C39"/>
    <mergeCell ref="A40:C40"/>
    <mergeCell ref="A21:C21"/>
    <mergeCell ref="A22:C22"/>
    <mergeCell ref="A35:C35"/>
    <mergeCell ref="A36:C36"/>
    <mergeCell ref="A37:C37"/>
    <mergeCell ref="A38:C3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workbookViewId="0"/>
  </sheetViews>
  <sheetFormatPr defaultRowHeight="15" x14ac:dyDescent="0.25"/>
  <cols>
    <col min="1" max="1" width="28.5703125" customWidth="1"/>
    <col min="2" max="2" width="20.28515625" customWidth="1"/>
    <col min="3" max="3" width="13.7109375" bestFit="1" customWidth="1"/>
    <col min="7" max="7" width="13" customWidth="1"/>
    <col min="257" max="257" width="16.85546875" bestFit="1" customWidth="1"/>
    <col min="258" max="258" width="20.28515625" customWidth="1"/>
    <col min="259" max="259" width="13.7109375" bestFit="1" customWidth="1"/>
    <col min="263" max="263" width="13" customWidth="1"/>
    <col min="513" max="513" width="16.85546875" bestFit="1" customWidth="1"/>
    <col min="514" max="514" width="20.28515625" customWidth="1"/>
    <col min="515" max="515" width="13.7109375" bestFit="1" customWidth="1"/>
    <col min="519" max="519" width="13" customWidth="1"/>
    <col min="769" max="769" width="16.85546875" bestFit="1" customWidth="1"/>
    <col min="770" max="770" width="20.28515625" customWidth="1"/>
    <col min="771" max="771" width="13.7109375" bestFit="1" customWidth="1"/>
    <col min="775" max="775" width="13" customWidth="1"/>
    <col min="1025" max="1025" width="16.85546875" bestFit="1" customWidth="1"/>
    <col min="1026" max="1026" width="20.28515625" customWidth="1"/>
    <col min="1027" max="1027" width="13.7109375" bestFit="1" customWidth="1"/>
    <col min="1031" max="1031" width="13" customWidth="1"/>
    <col min="1281" max="1281" width="16.85546875" bestFit="1" customWidth="1"/>
    <col min="1282" max="1282" width="20.28515625" customWidth="1"/>
    <col min="1283" max="1283" width="13.7109375" bestFit="1" customWidth="1"/>
    <col min="1287" max="1287" width="13" customWidth="1"/>
    <col min="1537" max="1537" width="16.85546875" bestFit="1" customWidth="1"/>
    <col min="1538" max="1538" width="20.28515625" customWidth="1"/>
    <col min="1539" max="1539" width="13.7109375" bestFit="1" customWidth="1"/>
    <col min="1543" max="1543" width="13" customWidth="1"/>
    <col min="1793" max="1793" width="16.85546875" bestFit="1" customWidth="1"/>
    <col min="1794" max="1794" width="20.28515625" customWidth="1"/>
    <col min="1795" max="1795" width="13.7109375" bestFit="1" customWidth="1"/>
    <col min="1799" max="1799" width="13" customWidth="1"/>
    <col min="2049" max="2049" width="16.85546875" bestFit="1" customWidth="1"/>
    <col min="2050" max="2050" width="20.28515625" customWidth="1"/>
    <col min="2051" max="2051" width="13.7109375" bestFit="1" customWidth="1"/>
    <col min="2055" max="2055" width="13" customWidth="1"/>
    <col min="2305" max="2305" width="16.85546875" bestFit="1" customWidth="1"/>
    <col min="2306" max="2306" width="20.28515625" customWidth="1"/>
    <col min="2307" max="2307" width="13.7109375" bestFit="1" customWidth="1"/>
    <col min="2311" max="2311" width="13" customWidth="1"/>
    <col min="2561" max="2561" width="16.85546875" bestFit="1" customWidth="1"/>
    <col min="2562" max="2562" width="20.28515625" customWidth="1"/>
    <col min="2563" max="2563" width="13.7109375" bestFit="1" customWidth="1"/>
    <col min="2567" max="2567" width="13" customWidth="1"/>
    <col min="2817" max="2817" width="16.85546875" bestFit="1" customWidth="1"/>
    <col min="2818" max="2818" width="20.28515625" customWidth="1"/>
    <col min="2819" max="2819" width="13.7109375" bestFit="1" customWidth="1"/>
    <col min="2823" max="2823" width="13" customWidth="1"/>
    <col min="3073" max="3073" width="16.85546875" bestFit="1" customWidth="1"/>
    <col min="3074" max="3074" width="20.28515625" customWidth="1"/>
    <col min="3075" max="3075" width="13.7109375" bestFit="1" customWidth="1"/>
    <col min="3079" max="3079" width="13" customWidth="1"/>
    <col min="3329" max="3329" width="16.85546875" bestFit="1" customWidth="1"/>
    <col min="3330" max="3330" width="20.28515625" customWidth="1"/>
    <col min="3331" max="3331" width="13.7109375" bestFit="1" customWidth="1"/>
    <col min="3335" max="3335" width="13" customWidth="1"/>
    <col min="3585" max="3585" width="16.85546875" bestFit="1" customWidth="1"/>
    <col min="3586" max="3586" width="20.28515625" customWidth="1"/>
    <col min="3587" max="3587" width="13.7109375" bestFit="1" customWidth="1"/>
    <col min="3591" max="3591" width="13" customWidth="1"/>
    <col min="3841" max="3841" width="16.85546875" bestFit="1" customWidth="1"/>
    <col min="3842" max="3842" width="20.28515625" customWidth="1"/>
    <col min="3843" max="3843" width="13.7109375" bestFit="1" customWidth="1"/>
    <col min="3847" max="3847" width="13" customWidth="1"/>
    <col min="4097" max="4097" width="16.85546875" bestFit="1" customWidth="1"/>
    <col min="4098" max="4098" width="20.28515625" customWidth="1"/>
    <col min="4099" max="4099" width="13.7109375" bestFit="1" customWidth="1"/>
    <col min="4103" max="4103" width="13" customWidth="1"/>
    <col min="4353" max="4353" width="16.85546875" bestFit="1" customWidth="1"/>
    <col min="4354" max="4354" width="20.28515625" customWidth="1"/>
    <col min="4355" max="4355" width="13.7109375" bestFit="1" customWidth="1"/>
    <col min="4359" max="4359" width="13" customWidth="1"/>
    <col min="4609" max="4609" width="16.85546875" bestFit="1" customWidth="1"/>
    <col min="4610" max="4610" width="20.28515625" customWidth="1"/>
    <col min="4611" max="4611" width="13.7109375" bestFit="1" customWidth="1"/>
    <col min="4615" max="4615" width="13" customWidth="1"/>
    <col min="4865" max="4865" width="16.85546875" bestFit="1" customWidth="1"/>
    <col min="4866" max="4866" width="20.28515625" customWidth="1"/>
    <col min="4867" max="4867" width="13.7109375" bestFit="1" customWidth="1"/>
    <col min="4871" max="4871" width="13" customWidth="1"/>
    <col min="5121" max="5121" width="16.85546875" bestFit="1" customWidth="1"/>
    <col min="5122" max="5122" width="20.28515625" customWidth="1"/>
    <col min="5123" max="5123" width="13.7109375" bestFit="1" customWidth="1"/>
    <col min="5127" max="5127" width="13" customWidth="1"/>
    <col min="5377" max="5377" width="16.85546875" bestFit="1" customWidth="1"/>
    <col min="5378" max="5378" width="20.28515625" customWidth="1"/>
    <col min="5379" max="5379" width="13.7109375" bestFit="1" customWidth="1"/>
    <col min="5383" max="5383" width="13" customWidth="1"/>
    <col min="5633" max="5633" width="16.85546875" bestFit="1" customWidth="1"/>
    <col min="5634" max="5634" width="20.28515625" customWidth="1"/>
    <col min="5635" max="5635" width="13.7109375" bestFit="1" customWidth="1"/>
    <col min="5639" max="5639" width="13" customWidth="1"/>
    <col min="5889" max="5889" width="16.85546875" bestFit="1" customWidth="1"/>
    <col min="5890" max="5890" width="20.28515625" customWidth="1"/>
    <col min="5891" max="5891" width="13.7109375" bestFit="1" customWidth="1"/>
    <col min="5895" max="5895" width="13" customWidth="1"/>
    <col min="6145" max="6145" width="16.85546875" bestFit="1" customWidth="1"/>
    <col min="6146" max="6146" width="20.28515625" customWidth="1"/>
    <col min="6147" max="6147" width="13.7109375" bestFit="1" customWidth="1"/>
    <col min="6151" max="6151" width="13" customWidth="1"/>
    <col min="6401" max="6401" width="16.85546875" bestFit="1" customWidth="1"/>
    <col min="6402" max="6402" width="20.28515625" customWidth="1"/>
    <col min="6403" max="6403" width="13.7109375" bestFit="1" customWidth="1"/>
    <col min="6407" max="6407" width="13" customWidth="1"/>
    <col min="6657" max="6657" width="16.85546875" bestFit="1" customWidth="1"/>
    <col min="6658" max="6658" width="20.28515625" customWidth="1"/>
    <col min="6659" max="6659" width="13.7109375" bestFit="1" customWidth="1"/>
    <col min="6663" max="6663" width="13" customWidth="1"/>
    <col min="6913" max="6913" width="16.85546875" bestFit="1" customWidth="1"/>
    <col min="6914" max="6914" width="20.28515625" customWidth="1"/>
    <col min="6915" max="6915" width="13.7109375" bestFit="1" customWidth="1"/>
    <col min="6919" max="6919" width="13" customWidth="1"/>
    <col min="7169" max="7169" width="16.85546875" bestFit="1" customWidth="1"/>
    <col min="7170" max="7170" width="20.28515625" customWidth="1"/>
    <col min="7171" max="7171" width="13.7109375" bestFit="1" customWidth="1"/>
    <col min="7175" max="7175" width="13" customWidth="1"/>
    <col min="7425" max="7425" width="16.85546875" bestFit="1" customWidth="1"/>
    <col min="7426" max="7426" width="20.28515625" customWidth="1"/>
    <col min="7427" max="7427" width="13.7109375" bestFit="1" customWidth="1"/>
    <col min="7431" max="7431" width="13" customWidth="1"/>
    <col min="7681" max="7681" width="16.85546875" bestFit="1" customWidth="1"/>
    <col min="7682" max="7682" width="20.28515625" customWidth="1"/>
    <col min="7683" max="7683" width="13.7109375" bestFit="1" customWidth="1"/>
    <col min="7687" max="7687" width="13" customWidth="1"/>
    <col min="7937" max="7937" width="16.85546875" bestFit="1" customWidth="1"/>
    <col min="7938" max="7938" width="20.28515625" customWidth="1"/>
    <col min="7939" max="7939" width="13.7109375" bestFit="1" customWidth="1"/>
    <col min="7943" max="7943" width="13" customWidth="1"/>
    <col min="8193" max="8193" width="16.85546875" bestFit="1" customWidth="1"/>
    <col min="8194" max="8194" width="20.28515625" customWidth="1"/>
    <col min="8195" max="8195" width="13.7109375" bestFit="1" customWidth="1"/>
    <col min="8199" max="8199" width="13" customWidth="1"/>
    <col min="8449" max="8449" width="16.85546875" bestFit="1" customWidth="1"/>
    <col min="8450" max="8450" width="20.28515625" customWidth="1"/>
    <col min="8451" max="8451" width="13.7109375" bestFit="1" customWidth="1"/>
    <col min="8455" max="8455" width="13" customWidth="1"/>
    <col min="8705" max="8705" width="16.85546875" bestFit="1" customWidth="1"/>
    <col min="8706" max="8706" width="20.28515625" customWidth="1"/>
    <col min="8707" max="8707" width="13.7109375" bestFit="1" customWidth="1"/>
    <col min="8711" max="8711" width="13" customWidth="1"/>
    <col min="8961" max="8961" width="16.85546875" bestFit="1" customWidth="1"/>
    <col min="8962" max="8962" width="20.28515625" customWidth="1"/>
    <col min="8963" max="8963" width="13.7109375" bestFit="1" customWidth="1"/>
    <col min="8967" max="8967" width="13" customWidth="1"/>
    <col min="9217" max="9217" width="16.85546875" bestFit="1" customWidth="1"/>
    <col min="9218" max="9218" width="20.28515625" customWidth="1"/>
    <col min="9219" max="9219" width="13.7109375" bestFit="1" customWidth="1"/>
    <col min="9223" max="9223" width="13" customWidth="1"/>
    <col min="9473" max="9473" width="16.85546875" bestFit="1" customWidth="1"/>
    <col min="9474" max="9474" width="20.28515625" customWidth="1"/>
    <col min="9475" max="9475" width="13.7109375" bestFit="1" customWidth="1"/>
    <col min="9479" max="9479" width="13" customWidth="1"/>
    <col min="9729" max="9729" width="16.85546875" bestFit="1" customWidth="1"/>
    <col min="9730" max="9730" width="20.28515625" customWidth="1"/>
    <col min="9731" max="9731" width="13.7109375" bestFit="1" customWidth="1"/>
    <col min="9735" max="9735" width="13" customWidth="1"/>
    <col min="9985" max="9985" width="16.85546875" bestFit="1" customWidth="1"/>
    <col min="9986" max="9986" width="20.28515625" customWidth="1"/>
    <col min="9987" max="9987" width="13.7109375" bestFit="1" customWidth="1"/>
    <col min="9991" max="9991" width="13" customWidth="1"/>
    <col min="10241" max="10241" width="16.85546875" bestFit="1" customWidth="1"/>
    <col min="10242" max="10242" width="20.28515625" customWidth="1"/>
    <col min="10243" max="10243" width="13.7109375" bestFit="1" customWidth="1"/>
    <col min="10247" max="10247" width="13" customWidth="1"/>
    <col min="10497" max="10497" width="16.85546875" bestFit="1" customWidth="1"/>
    <col min="10498" max="10498" width="20.28515625" customWidth="1"/>
    <col min="10499" max="10499" width="13.7109375" bestFit="1" customWidth="1"/>
    <col min="10503" max="10503" width="13" customWidth="1"/>
    <col min="10753" max="10753" width="16.85546875" bestFit="1" customWidth="1"/>
    <col min="10754" max="10754" width="20.28515625" customWidth="1"/>
    <col min="10755" max="10755" width="13.7109375" bestFit="1" customWidth="1"/>
    <col min="10759" max="10759" width="13" customWidth="1"/>
    <col min="11009" max="11009" width="16.85546875" bestFit="1" customWidth="1"/>
    <col min="11010" max="11010" width="20.28515625" customWidth="1"/>
    <col min="11011" max="11011" width="13.7109375" bestFit="1" customWidth="1"/>
    <col min="11015" max="11015" width="13" customWidth="1"/>
    <col min="11265" max="11265" width="16.85546875" bestFit="1" customWidth="1"/>
    <col min="11266" max="11266" width="20.28515625" customWidth="1"/>
    <col min="11267" max="11267" width="13.7109375" bestFit="1" customWidth="1"/>
    <col min="11271" max="11271" width="13" customWidth="1"/>
    <col min="11521" max="11521" width="16.85546875" bestFit="1" customWidth="1"/>
    <col min="11522" max="11522" width="20.28515625" customWidth="1"/>
    <col min="11523" max="11523" width="13.7109375" bestFit="1" customWidth="1"/>
    <col min="11527" max="11527" width="13" customWidth="1"/>
    <col min="11777" max="11777" width="16.85546875" bestFit="1" customWidth="1"/>
    <col min="11778" max="11778" width="20.28515625" customWidth="1"/>
    <col min="11779" max="11779" width="13.7109375" bestFit="1" customWidth="1"/>
    <col min="11783" max="11783" width="13" customWidth="1"/>
    <col min="12033" max="12033" width="16.85546875" bestFit="1" customWidth="1"/>
    <col min="12034" max="12034" width="20.28515625" customWidth="1"/>
    <col min="12035" max="12035" width="13.7109375" bestFit="1" customWidth="1"/>
    <col min="12039" max="12039" width="13" customWidth="1"/>
    <col min="12289" max="12289" width="16.85546875" bestFit="1" customWidth="1"/>
    <col min="12290" max="12290" width="20.28515625" customWidth="1"/>
    <col min="12291" max="12291" width="13.7109375" bestFit="1" customWidth="1"/>
    <col min="12295" max="12295" width="13" customWidth="1"/>
    <col min="12545" max="12545" width="16.85546875" bestFit="1" customWidth="1"/>
    <col min="12546" max="12546" width="20.28515625" customWidth="1"/>
    <col min="12547" max="12547" width="13.7109375" bestFit="1" customWidth="1"/>
    <col min="12551" max="12551" width="13" customWidth="1"/>
    <col min="12801" max="12801" width="16.85546875" bestFit="1" customWidth="1"/>
    <col min="12802" max="12802" width="20.28515625" customWidth="1"/>
    <col min="12803" max="12803" width="13.7109375" bestFit="1" customWidth="1"/>
    <col min="12807" max="12807" width="13" customWidth="1"/>
    <col min="13057" max="13057" width="16.85546875" bestFit="1" customWidth="1"/>
    <col min="13058" max="13058" width="20.28515625" customWidth="1"/>
    <col min="13059" max="13059" width="13.7109375" bestFit="1" customWidth="1"/>
    <col min="13063" max="13063" width="13" customWidth="1"/>
    <col min="13313" max="13313" width="16.85546875" bestFit="1" customWidth="1"/>
    <col min="13314" max="13314" width="20.28515625" customWidth="1"/>
    <col min="13315" max="13315" width="13.7109375" bestFit="1" customWidth="1"/>
    <col min="13319" max="13319" width="13" customWidth="1"/>
    <col min="13569" max="13569" width="16.85546875" bestFit="1" customWidth="1"/>
    <col min="13570" max="13570" width="20.28515625" customWidth="1"/>
    <col min="13571" max="13571" width="13.7109375" bestFit="1" customWidth="1"/>
    <col min="13575" max="13575" width="13" customWidth="1"/>
    <col min="13825" max="13825" width="16.85546875" bestFit="1" customWidth="1"/>
    <col min="13826" max="13826" width="20.28515625" customWidth="1"/>
    <col min="13827" max="13827" width="13.7109375" bestFit="1" customWidth="1"/>
    <col min="13831" max="13831" width="13" customWidth="1"/>
    <col min="14081" max="14081" width="16.85546875" bestFit="1" customWidth="1"/>
    <col min="14082" max="14082" width="20.28515625" customWidth="1"/>
    <col min="14083" max="14083" width="13.7109375" bestFit="1" customWidth="1"/>
    <col min="14087" max="14087" width="13" customWidth="1"/>
    <col min="14337" max="14337" width="16.85546875" bestFit="1" customWidth="1"/>
    <col min="14338" max="14338" width="20.28515625" customWidth="1"/>
    <col min="14339" max="14339" width="13.7109375" bestFit="1" customWidth="1"/>
    <col min="14343" max="14343" width="13" customWidth="1"/>
    <col min="14593" max="14593" width="16.85546875" bestFit="1" customWidth="1"/>
    <col min="14594" max="14594" width="20.28515625" customWidth="1"/>
    <col min="14595" max="14595" width="13.7109375" bestFit="1" customWidth="1"/>
    <col min="14599" max="14599" width="13" customWidth="1"/>
    <col min="14849" max="14849" width="16.85546875" bestFit="1" customWidth="1"/>
    <col min="14850" max="14850" width="20.28515625" customWidth="1"/>
    <col min="14851" max="14851" width="13.7109375" bestFit="1" customWidth="1"/>
    <col min="14855" max="14855" width="13" customWidth="1"/>
    <col min="15105" max="15105" width="16.85546875" bestFit="1" customWidth="1"/>
    <col min="15106" max="15106" width="20.28515625" customWidth="1"/>
    <col min="15107" max="15107" width="13.7109375" bestFit="1" customWidth="1"/>
    <col min="15111" max="15111" width="13" customWidth="1"/>
    <col min="15361" max="15361" width="16.85546875" bestFit="1" customWidth="1"/>
    <col min="15362" max="15362" width="20.28515625" customWidth="1"/>
    <col min="15363" max="15363" width="13.7109375" bestFit="1" customWidth="1"/>
    <col min="15367" max="15367" width="13" customWidth="1"/>
    <col min="15617" max="15617" width="16.85546875" bestFit="1" customWidth="1"/>
    <col min="15618" max="15618" width="20.28515625" customWidth="1"/>
    <col min="15619" max="15619" width="13.7109375" bestFit="1" customWidth="1"/>
    <col min="15623" max="15623" width="13" customWidth="1"/>
    <col min="15873" max="15873" width="16.85546875" bestFit="1" customWidth="1"/>
    <col min="15874" max="15874" width="20.28515625" customWidth="1"/>
    <col min="15875" max="15875" width="13.7109375" bestFit="1" customWidth="1"/>
    <col min="15879" max="15879" width="13" customWidth="1"/>
    <col min="16129" max="16129" width="16.85546875" bestFit="1" customWidth="1"/>
    <col min="16130" max="16130" width="20.28515625" customWidth="1"/>
    <col min="16131" max="16131" width="13.7109375" bestFit="1" customWidth="1"/>
    <col min="16135" max="16135" width="13" customWidth="1"/>
  </cols>
  <sheetData>
    <row r="1" spans="1:10" ht="120" x14ac:dyDescent="0.25">
      <c r="A1" s="223" t="s">
        <v>948</v>
      </c>
    </row>
    <row r="3" spans="1:10" x14ac:dyDescent="0.25">
      <c r="A3" s="61" t="s">
        <v>606</v>
      </c>
    </row>
    <row r="4" spans="1:10" x14ac:dyDescent="0.25">
      <c r="A4" s="10" t="s">
        <v>932</v>
      </c>
    </row>
    <row r="5" spans="1:10" ht="15.75" thickBot="1" x14ac:dyDescent="0.3"/>
    <row r="6" spans="1:10" ht="15.75" thickBot="1" x14ac:dyDescent="0.3">
      <c r="A6" s="429" t="s">
        <v>607</v>
      </c>
      <c r="B6" s="430"/>
    </row>
    <row r="7" spans="1:10" ht="15.75" thickBot="1" x14ac:dyDescent="0.3">
      <c r="A7" s="62" t="s">
        <v>933</v>
      </c>
      <c r="B7" s="65">
        <v>289.86735579377233</v>
      </c>
    </row>
    <row r="8" spans="1:10" ht="15.75" thickBot="1" x14ac:dyDescent="0.3">
      <c r="A8" s="62" t="s">
        <v>934</v>
      </c>
      <c r="B8" s="65">
        <v>586.9827666701816</v>
      </c>
    </row>
    <row r="9" spans="1:10" ht="15.75" thickBot="1" x14ac:dyDescent="0.3">
      <c r="A9" s="62" t="s">
        <v>935</v>
      </c>
      <c r="B9" s="65">
        <v>274.84297877341203</v>
      </c>
    </row>
    <row r="10" spans="1:10" ht="15.75" thickBot="1" x14ac:dyDescent="0.3">
      <c r="A10" s="62"/>
      <c r="B10" s="64"/>
    </row>
    <row r="11" spans="1:10" ht="15.75" thickBot="1" x14ac:dyDescent="0.3">
      <c r="A11" s="62"/>
      <c r="B11" s="64"/>
    </row>
    <row r="12" spans="1:10" ht="15.75" thickBot="1" x14ac:dyDescent="0.3"/>
    <row r="13" spans="1:10" ht="25.5" customHeight="1" thickBot="1" x14ac:dyDescent="0.3">
      <c r="A13" s="431" t="s">
        <v>612</v>
      </c>
      <c r="B13" s="432"/>
    </row>
    <row r="14" spans="1:10" ht="15.75" thickBot="1" x14ac:dyDescent="0.3">
      <c r="A14" s="62" t="s">
        <v>613</v>
      </c>
      <c r="B14" s="65">
        <v>0</v>
      </c>
    </row>
    <row r="15" spans="1:10" ht="15.75" thickBot="1" x14ac:dyDescent="0.3">
      <c r="A15" s="66" t="s">
        <v>820</v>
      </c>
      <c r="B15" s="65">
        <v>0</v>
      </c>
      <c r="J15" s="9"/>
    </row>
    <row r="16" spans="1:10" ht="15.75" thickBot="1" x14ac:dyDescent="0.3"/>
    <row r="17" spans="1:17" ht="16.5" thickBot="1" x14ac:dyDescent="0.3">
      <c r="A17" s="449"/>
      <c r="B17" s="424"/>
      <c r="C17" s="425"/>
    </row>
    <row r="18" spans="1:17" x14ac:dyDescent="0.25">
      <c r="A18" s="426"/>
      <c r="B18" s="427"/>
      <c r="C18" s="428"/>
    </row>
    <row r="19" spans="1:17" x14ac:dyDescent="0.25">
      <c r="A19" s="417"/>
      <c r="B19" s="418"/>
      <c r="C19" s="419"/>
    </row>
    <row r="20" spans="1:17" x14ac:dyDescent="0.25">
      <c r="A20" s="417"/>
      <c r="B20" s="418"/>
      <c r="C20" s="419"/>
    </row>
    <row r="21" spans="1:17" x14ac:dyDescent="0.25">
      <c r="A21" s="417"/>
      <c r="B21" s="418"/>
      <c r="C21" s="419"/>
    </row>
    <row r="22" spans="1:17" ht="15.75" thickBot="1" x14ac:dyDescent="0.3">
      <c r="A22" s="420" t="s">
        <v>936</v>
      </c>
      <c r="B22" s="421"/>
      <c r="C22" s="422"/>
    </row>
    <row r="23" spans="1:17" ht="15.75" thickBot="1" x14ac:dyDescent="0.3">
      <c r="A23" s="67"/>
      <c r="B23" s="64"/>
      <c r="C23" s="68" t="s">
        <v>618</v>
      </c>
    </row>
    <row r="24" spans="1:17" ht="15.75" thickBot="1" x14ac:dyDescent="0.3">
      <c r="A24" s="62" t="s">
        <v>937</v>
      </c>
      <c r="B24" s="69" t="s">
        <v>946</v>
      </c>
      <c r="C24" s="70">
        <v>909.68559019274619</v>
      </c>
      <c r="G24" s="199"/>
      <c r="H24" s="198"/>
      <c r="I24" s="198"/>
      <c r="J24" s="198"/>
      <c r="K24" s="198"/>
      <c r="L24" s="198"/>
      <c r="M24" s="198"/>
      <c r="N24" s="198"/>
      <c r="O24" s="198"/>
      <c r="P24" s="198"/>
      <c r="Q24" s="198"/>
    </row>
    <row r="25" spans="1:17" ht="15.75" thickBot="1" x14ac:dyDescent="0.3">
      <c r="A25" s="62"/>
      <c r="B25" s="69"/>
      <c r="C25" s="70"/>
      <c r="G25" s="199"/>
      <c r="H25" s="198"/>
      <c r="I25" s="198"/>
      <c r="J25" s="198"/>
      <c r="K25" s="198"/>
      <c r="L25" s="198"/>
      <c r="M25" s="198"/>
      <c r="N25" s="198"/>
      <c r="O25" s="198"/>
      <c r="P25" s="198"/>
      <c r="Q25" s="198"/>
    </row>
    <row r="26" spans="1:17" ht="15.75" thickBot="1" x14ac:dyDescent="0.3">
      <c r="A26" s="62"/>
      <c r="B26" s="69"/>
      <c r="C26" s="9"/>
      <c r="G26" s="198"/>
      <c r="H26" s="198"/>
      <c r="I26" s="198"/>
      <c r="J26" s="198"/>
      <c r="K26" s="198"/>
      <c r="L26" s="198"/>
      <c r="M26" s="198"/>
      <c r="N26" s="198"/>
      <c r="O26" s="198"/>
      <c r="P26" s="198"/>
      <c r="Q26" s="198"/>
    </row>
    <row r="27" spans="1:17" ht="15.75" thickBot="1" x14ac:dyDescent="0.3">
      <c r="A27" s="62"/>
      <c r="B27" s="69"/>
      <c r="C27" s="70"/>
      <c r="G27" s="234"/>
      <c r="H27" s="199"/>
      <c r="I27" s="198"/>
      <c r="J27" s="198"/>
      <c r="K27" s="198"/>
      <c r="L27" s="198"/>
      <c r="M27" s="198"/>
      <c r="N27" s="198"/>
      <c r="O27" s="198"/>
      <c r="P27" s="198"/>
      <c r="Q27" s="198"/>
    </row>
    <row r="28" spans="1:17" ht="15.75" thickBot="1" x14ac:dyDescent="0.3">
      <c r="A28" s="62"/>
      <c r="B28" s="69"/>
      <c r="C28" s="70"/>
      <c r="G28" s="234"/>
      <c r="H28" s="199"/>
      <c r="I28" s="198"/>
      <c r="J28" s="198"/>
      <c r="K28" s="198"/>
      <c r="L28" s="198"/>
      <c r="M28" s="198"/>
      <c r="N28" s="198"/>
      <c r="O28" s="198"/>
      <c r="P28" s="198"/>
      <c r="Q28" s="198"/>
    </row>
    <row r="29" spans="1:17" ht="15.75" thickBot="1" x14ac:dyDescent="0.3">
      <c r="A29" s="62" t="s">
        <v>942</v>
      </c>
      <c r="B29" s="69" t="s">
        <v>947</v>
      </c>
      <c r="C29" s="70">
        <v>78.678326367743495</v>
      </c>
      <c r="G29" s="234"/>
      <c r="H29" s="199"/>
      <c r="I29" s="198"/>
      <c r="J29" s="198"/>
      <c r="K29" s="198"/>
      <c r="L29" s="198"/>
      <c r="M29" s="198"/>
      <c r="N29" s="198"/>
      <c r="O29" s="198"/>
      <c r="P29" s="198"/>
      <c r="Q29" s="198"/>
    </row>
    <row r="30" spans="1:17" ht="15.75" thickBot="1" x14ac:dyDescent="0.3">
      <c r="A30" s="62"/>
      <c r="B30" s="69"/>
      <c r="C30" s="70"/>
      <c r="G30" s="234"/>
      <c r="H30" s="199"/>
      <c r="I30" s="198"/>
      <c r="J30" s="198"/>
      <c r="K30" s="198"/>
      <c r="L30" s="198"/>
      <c r="M30" s="198"/>
      <c r="N30" s="198"/>
      <c r="O30" s="198"/>
      <c r="P30" s="198"/>
      <c r="Q30" s="198"/>
    </row>
    <row r="31" spans="1:17" ht="15.75" thickBot="1" x14ac:dyDescent="0.3">
      <c r="A31" s="62"/>
      <c r="B31" s="69"/>
      <c r="C31" s="70"/>
      <c r="G31" s="234"/>
      <c r="H31" s="199"/>
      <c r="I31" s="198"/>
      <c r="J31" s="198"/>
      <c r="K31" s="198"/>
      <c r="L31" s="198"/>
      <c r="M31" s="198"/>
      <c r="N31" s="198"/>
      <c r="O31" s="198"/>
      <c r="P31" s="198"/>
      <c r="Q31" s="198"/>
    </row>
    <row r="32" spans="1:17" ht="15.75" thickBot="1" x14ac:dyDescent="0.3">
      <c r="A32" s="62" t="s">
        <v>945</v>
      </c>
      <c r="B32" s="69"/>
      <c r="C32" s="70">
        <v>296.50917496814685</v>
      </c>
      <c r="H32" s="9"/>
    </row>
    <row r="33" spans="1:6" ht="15.75" thickBot="1" x14ac:dyDescent="0.3">
      <c r="A33" s="72" t="s">
        <v>125</v>
      </c>
      <c r="B33" s="69"/>
      <c r="C33" s="73">
        <f>SUM(C24:C32)</f>
        <v>1284.8730915286365</v>
      </c>
      <c r="F33" s="10" t="s">
        <v>932</v>
      </c>
    </row>
    <row r="34" spans="1:6" ht="15.75" thickBot="1" x14ac:dyDescent="0.3"/>
    <row r="35" spans="1:6" ht="16.5" thickBot="1" x14ac:dyDescent="0.3">
      <c r="A35" s="449"/>
      <c r="B35" s="424"/>
      <c r="C35" s="425"/>
    </row>
    <row r="36" spans="1:6" x14ac:dyDescent="0.25">
      <c r="A36" s="426"/>
      <c r="B36" s="427"/>
      <c r="C36" s="428"/>
    </row>
    <row r="37" spans="1:6" x14ac:dyDescent="0.25">
      <c r="A37" s="417"/>
      <c r="B37" s="418"/>
      <c r="C37" s="419"/>
    </row>
    <row r="38" spans="1:6" x14ac:dyDescent="0.25">
      <c r="A38" s="417"/>
      <c r="B38" s="418"/>
      <c r="C38" s="419"/>
    </row>
    <row r="39" spans="1:6" x14ac:dyDescent="0.25">
      <c r="A39" s="417"/>
      <c r="B39" s="418"/>
      <c r="C39" s="419"/>
    </row>
    <row r="40" spans="1:6" ht="15.75" thickBot="1" x14ac:dyDescent="0.3">
      <c r="A40" s="420"/>
      <c r="B40" s="421"/>
      <c r="C40" s="422"/>
    </row>
    <row r="41" spans="1:6" ht="15.75" thickBot="1" x14ac:dyDescent="0.3">
      <c r="A41" s="67"/>
      <c r="B41" s="64"/>
      <c r="C41" s="68"/>
    </row>
    <row r="42" spans="1:6" ht="15.75" thickBot="1" x14ac:dyDescent="0.3">
      <c r="A42" s="62"/>
      <c r="B42" s="69"/>
      <c r="C42" s="70"/>
    </row>
    <row r="43" spans="1:6" ht="15.75" thickBot="1" x14ac:dyDescent="0.3">
      <c r="A43" s="62"/>
      <c r="B43" s="69"/>
      <c r="C43" s="70"/>
    </row>
    <row r="44" spans="1:6" ht="15.75" thickBot="1" x14ac:dyDescent="0.3">
      <c r="A44" s="62"/>
      <c r="B44" s="69"/>
      <c r="C44" s="71"/>
    </row>
    <row r="45" spans="1:6" ht="15.75" thickBot="1" x14ac:dyDescent="0.3">
      <c r="A45" s="62"/>
      <c r="B45" s="69"/>
      <c r="C45" s="70"/>
    </row>
    <row r="46" spans="1:6" ht="15.75" thickBot="1" x14ac:dyDescent="0.3">
      <c r="A46" s="62"/>
      <c r="B46" s="69"/>
      <c r="C46" s="70"/>
    </row>
    <row r="47" spans="1:6" ht="15.75" thickBot="1" x14ac:dyDescent="0.3">
      <c r="A47" s="62"/>
      <c r="B47" s="69"/>
      <c r="C47" s="71"/>
    </row>
    <row r="48" spans="1:6" ht="15.75" thickBot="1" x14ac:dyDescent="0.3">
      <c r="A48" s="62"/>
      <c r="B48" s="69"/>
      <c r="C48" s="70"/>
    </row>
    <row r="49" spans="1:3" ht="15.75" thickBot="1" x14ac:dyDescent="0.3">
      <c r="A49" s="62"/>
      <c r="B49" s="69"/>
      <c r="C49" s="70"/>
    </row>
    <row r="50" spans="1:3" ht="15.75" thickBot="1" x14ac:dyDescent="0.3">
      <c r="A50" s="62"/>
      <c r="B50" s="69"/>
      <c r="C50" s="71"/>
    </row>
    <row r="51" spans="1:3" ht="15.75" thickBot="1" x14ac:dyDescent="0.3">
      <c r="A51" s="72"/>
      <c r="B51" s="69"/>
      <c r="C51" s="73"/>
    </row>
  </sheetData>
  <mergeCells count="14">
    <mergeCell ref="A20:C20"/>
    <mergeCell ref="A6:B6"/>
    <mergeCell ref="A13:B13"/>
    <mergeCell ref="A17:C17"/>
    <mergeCell ref="A18:C18"/>
    <mergeCell ref="A19:C19"/>
    <mergeCell ref="A39:C39"/>
    <mergeCell ref="A40:C40"/>
    <mergeCell ref="A21:C21"/>
    <mergeCell ref="A22:C22"/>
    <mergeCell ref="A35:C35"/>
    <mergeCell ref="A36:C36"/>
    <mergeCell ref="A37:C37"/>
    <mergeCell ref="A38:C3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C20" sqref="C20"/>
    </sheetView>
  </sheetViews>
  <sheetFormatPr defaultRowHeight="15" x14ac:dyDescent="0.25"/>
  <cols>
    <col min="1" max="1" width="35.7109375" customWidth="1"/>
    <col min="2" max="2" width="19.28515625" customWidth="1"/>
    <col min="3" max="3" width="50.85546875" customWidth="1"/>
    <col min="4" max="4" width="26.85546875" customWidth="1"/>
    <col min="5" max="5" width="11.42578125" customWidth="1"/>
    <col min="6" max="6" width="28.28515625" customWidth="1"/>
    <col min="7" max="7" width="11.7109375" customWidth="1"/>
  </cols>
  <sheetData>
    <row r="1" spans="1:7" ht="18.75" x14ac:dyDescent="0.3">
      <c r="A1" s="7" t="s">
        <v>973</v>
      </c>
    </row>
    <row r="2" spans="1:7" ht="15.75" x14ac:dyDescent="0.25">
      <c r="A2" s="243" t="s">
        <v>974</v>
      </c>
    </row>
    <row r="3" spans="1:7" ht="15.75" x14ac:dyDescent="0.25">
      <c r="A3" s="244" t="s">
        <v>975</v>
      </c>
    </row>
    <row r="4" spans="1:7" ht="15.75" x14ac:dyDescent="0.25">
      <c r="A4" s="243" t="s">
        <v>976</v>
      </c>
    </row>
    <row r="5" spans="1:7" ht="15.75" x14ac:dyDescent="0.25">
      <c r="A5" s="244"/>
    </row>
    <row r="6" spans="1:7" ht="15.75" x14ac:dyDescent="0.25">
      <c r="A6" s="245" t="s">
        <v>977</v>
      </c>
    </row>
    <row r="7" spans="1:7" ht="15.75" x14ac:dyDescent="0.25">
      <c r="A7" s="245" t="s">
        <v>978</v>
      </c>
    </row>
    <row r="8" spans="1:7" ht="15.75" x14ac:dyDescent="0.25">
      <c r="A8" s="245" t="s">
        <v>979</v>
      </c>
    </row>
    <row r="9" spans="1:7" ht="15.75" x14ac:dyDescent="0.25">
      <c r="A9" s="244"/>
    </row>
    <row r="10" spans="1:7" x14ac:dyDescent="0.25">
      <c r="A10" s="450" t="s">
        <v>980</v>
      </c>
      <c r="B10" s="451" t="s">
        <v>981</v>
      </c>
      <c r="C10" s="451"/>
      <c r="D10" s="452">
        <v>2014</v>
      </c>
      <c r="E10" s="453"/>
      <c r="F10" s="452">
        <v>2015</v>
      </c>
      <c r="G10" s="453"/>
    </row>
    <row r="11" spans="1:7" x14ac:dyDescent="0.25">
      <c r="A11" s="450"/>
      <c r="B11" s="451"/>
      <c r="C11" s="451"/>
      <c r="D11" s="97" t="s">
        <v>982</v>
      </c>
      <c r="E11" s="97" t="s">
        <v>983</v>
      </c>
      <c r="F11" s="97" t="s">
        <v>982</v>
      </c>
      <c r="G11" s="97" t="s">
        <v>983</v>
      </c>
    </row>
    <row r="12" spans="1:7" ht="15.75" x14ac:dyDescent="0.25">
      <c r="A12" s="454" t="s">
        <v>984</v>
      </c>
      <c r="B12" s="246" t="s">
        <v>985</v>
      </c>
      <c r="C12" s="247" t="s">
        <v>986</v>
      </c>
      <c r="D12" s="457" t="s">
        <v>987</v>
      </c>
      <c r="E12" s="458">
        <v>147074</v>
      </c>
      <c r="F12" s="457" t="s">
        <v>987</v>
      </c>
      <c r="G12" s="458">
        <v>21608</v>
      </c>
    </row>
    <row r="13" spans="1:7" ht="15.75" x14ac:dyDescent="0.25">
      <c r="A13" s="455"/>
      <c r="B13" s="246" t="s">
        <v>988</v>
      </c>
      <c r="C13" s="247" t="s">
        <v>989</v>
      </c>
      <c r="D13" s="457"/>
      <c r="E13" s="459"/>
      <c r="F13" s="457"/>
      <c r="G13" s="459"/>
    </row>
    <row r="14" spans="1:7" ht="15.75" x14ac:dyDescent="0.25">
      <c r="A14" s="456"/>
      <c r="B14" s="246" t="s">
        <v>990</v>
      </c>
      <c r="C14" s="247" t="s">
        <v>991</v>
      </c>
      <c r="D14" s="457"/>
      <c r="E14" s="459"/>
      <c r="F14" s="457"/>
      <c r="G14" s="459"/>
    </row>
    <row r="15" spans="1:7" ht="15.75" x14ac:dyDescent="0.25">
      <c r="A15" s="454" t="s">
        <v>992</v>
      </c>
      <c r="B15" s="246" t="s">
        <v>993</v>
      </c>
      <c r="C15" s="247" t="s">
        <v>994</v>
      </c>
      <c r="D15" s="457" t="s">
        <v>995</v>
      </c>
      <c r="E15" s="458">
        <v>47062</v>
      </c>
      <c r="F15" s="457" t="s">
        <v>995</v>
      </c>
      <c r="G15" s="458">
        <v>19892</v>
      </c>
    </row>
    <row r="16" spans="1:7" ht="15.75" x14ac:dyDescent="0.25">
      <c r="A16" s="456"/>
      <c r="B16" s="246" t="s">
        <v>996</v>
      </c>
      <c r="C16" s="247" t="s">
        <v>997</v>
      </c>
      <c r="D16" s="457"/>
      <c r="E16" s="459"/>
      <c r="F16" s="457"/>
      <c r="G16" s="459"/>
    </row>
    <row r="17" spans="1:7" ht="15.75" x14ac:dyDescent="0.25">
      <c r="A17" s="248" t="s">
        <v>998</v>
      </c>
      <c r="B17" s="246" t="s">
        <v>999</v>
      </c>
      <c r="C17" s="247" t="s">
        <v>986</v>
      </c>
      <c r="D17" s="249" t="s">
        <v>995</v>
      </c>
      <c r="E17" s="250">
        <v>47062</v>
      </c>
      <c r="F17" s="249" t="s">
        <v>995</v>
      </c>
      <c r="G17" s="250">
        <v>19892</v>
      </c>
    </row>
    <row r="18" spans="1:7" ht="87.75" customHeight="1" x14ac:dyDescent="0.25">
      <c r="A18" s="461" t="s">
        <v>1000</v>
      </c>
      <c r="B18" s="246" t="s">
        <v>1001</v>
      </c>
      <c r="C18" s="247" t="s">
        <v>1002</v>
      </c>
      <c r="D18" s="242" t="s">
        <v>1003</v>
      </c>
      <c r="E18" s="251">
        <v>59293.963075127002</v>
      </c>
      <c r="F18" s="242" t="s">
        <v>1003</v>
      </c>
      <c r="G18" s="251">
        <v>77242</v>
      </c>
    </row>
    <row r="19" spans="1:7" ht="15.75" x14ac:dyDescent="0.25">
      <c r="A19" s="462"/>
      <c r="B19" s="463" t="s">
        <v>1004</v>
      </c>
      <c r="C19" s="464"/>
      <c r="D19" s="465" t="s">
        <v>1005</v>
      </c>
      <c r="E19" s="466"/>
      <c r="F19" s="466"/>
      <c r="G19" s="467"/>
    </row>
    <row r="20" spans="1:7" ht="15.75" x14ac:dyDescent="0.25">
      <c r="A20" s="454" t="s">
        <v>1006</v>
      </c>
      <c r="B20" s="246" t="s">
        <v>1007</v>
      </c>
      <c r="C20" s="247" t="s">
        <v>1008</v>
      </c>
      <c r="D20" s="459" t="s">
        <v>987</v>
      </c>
      <c r="E20" s="458">
        <v>147074</v>
      </c>
      <c r="F20" s="459" t="s">
        <v>987</v>
      </c>
      <c r="G20" s="458">
        <v>21608</v>
      </c>
    </row>
    <row r="21" spans="1:7" ht="15.75" x14ac:dyDescent="0.25">
      <c r="A21" s="455"/>
      <c r="B21" s="246" t="s">
        <v>1009</v>
      </c>
      <c r="C21" s="247" t="s">
        <v>1010</v>
      </c>
      <c r="D21" s="459"/>
      <c r="E21" s="459"/>
      <c r="F21" s="459"/>
      <c r="G21" s="459"/>
    </row>
    <row r="22" spans="1:7" ht="15.75" x14ac:dyDescent="0.25">
      <c r="A22" s="455"/>
      <c r="B22" s="246" t="s">
        <v>1011</v>
      </c>
      <c r="C22" s="247" t="s">
        <v>1012</v>
      </c>
      <c r="D22" s="459"/>
      <c r="E22" s="459"/>
      <c r="F22" s="459"/>
      <c r="G22" s="459"/>
    </row>
    <row r="23" spans="1:7" ht="15.75" x14ac:dyDescent="0.25">
      <c r="A23" s="456"/>
      <c r="B23" s="246" t="s">
        <v>990</v>
      </c>
      <c r="C23" s="247" t="s">
        <v>991</v>
      </c>
      <c r="D23" s="459"/>
      <c r="E23" s="459"/>
      <c r="F23" s="459"/>
      <c r="G23" s="459"/>
    </row>
    <row r="24" spans="1:7" ht="15.75" x14ac:dyDescent="0.25">
      <c r="A24" s="454" t="s">
        <v>1013</v>
      </c>
      <c r="B24" s="246" t="s">
        <v>1014</v>
      </c>
      <c r="C24" s="247" t="s">
        <v>1015</v>
      </c>
      <c r="D24" s="457" t="s">
        <v>1003</v>
      </c>
      <c r="E24" s="460">
        <v>59293.963075127002</v>
      </c>
      <c r="F24" s="457" t="s">
        <v>1003</v>
      </c>
      <c r="G24" s="460">
        <v>77242</v>
      </c>
    </row>
    <row r="25" spans="1:7" ht="15.75" x14ac:dyDescent="0.25">
      <c r="A25" s="456"/>
      <c r="B25" s="246" t="s">
        <v>1016</v>
      </c>
      <c r="C25" s="247" t="s">
        <v>1017</v>
      </c>
      <c r="D25" s="457"/>
      <c r="E25" s="460"/>
      <c r="F25" s="457"/>
      <c r="G25" s="460"/>
    </row>
  </sheetData>
  <mergeCells count="27">
    <mergeCell ref="A18:A19"/>
    <mergeCell ref="B19:C19"/>
    <mergeCell ref="D19:G19"/>
    <mergeCell ref="A15:A16"/>
    <mergeCell ref="D15:D16"/>
    <mergeCell ref="E15:E16"/>
    <mergeCell ref="F15:F16"/>
    <mergeCell ref="G15:G16"/>
    <mergeCell ref="A20:A23"/>
    <mergeCell ref="D20:D23"/>
    <mergeCell ref="E20:E23"/>
    <mergeCell ref="F20:F23"/>
    <mergeCell ref="G20:G23"/>
    <mergeCell ref="A24:A25"/>
    <mergeCell ref="D24:D25"/>
    <mergeCell ref="E24:E25"/>
    <mergeCell ref="F24:F25"/>
    <mergeCell ref="G24:G25"/>
    <mergeCell ref="A10:A11"/>
    <mergeCell ref="B10:C11"/>
    <mergeCell ref="D10:E10"/>
    <mergeCell ref="F10:G10"/>
    <mergeCell ref="A12:A14"/>
    <mergeCell ref="D12:D14"/>
    <mergeCell ref="E12:E14"/>
    <mergeCell ref="F12:F14"/>
    <mergeCell ref="G12:G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tabSelected="1" zoomScale="90" zoomScaleNormal="90" workbookViewId="0">
      <pane ySplit="1" topLeftCell="A2" activePane="bottomLeft" state="frozen"/>
      <selection activeCell="C4" sqref="C4"/>
      <selection pane="bottomLeft" activeCell="A2" sqref="A2"/>
    </sheetView>
  </sheetViews>
  <sheetFormatPr defaultRowHeight="15" x14ac:dyDescent="0.25"/>
  <cols>
    <col min="1" max="1" width="3.42578125" style="1" bestFit="1" customWidth="1"/>
    <col min="2" max="2" width="8.42578125" style="1" customWidth="1"/>
    <col min="3" max="4" width="13.140625" style="1" customWidth="1"/>
    <col min="5" max="5" width="19.7109375" style="1" customWidth="1"/>
    <col min="6" max="7" width="10" style="1" bestFit="1" customWidth="1"/>
    <col min="8" max="8" width="18.7109375" style="1" customWidth="1"/>
    <col min="9" max="9" width="57.85546875" style="1" customWidth="1"/>
    <col min="10" max="10" width="28.42578125" style="1" customWidth="1"/>
    <col min="11" max="11" width="26.28515625" style="1" customWidth="1"/>
    <col min="12" max="12" width="16.7109375" style="395" customWidth="1"/>
    <col min="13" max="13" width="16.140625" style="394" customWidth="1"/>
    <col min="14" max="16384" width="9.140625" style="1"/>
  </cols>
  <sheetData>
    <row r="1" spans="1:13" ht="28.5" x14ac:dyDescent="0.25">
      <c r="A1" s="240" t="s">
        <v>2</v>
      </c>
      <c r="B1" s="240" t="s">
        <v>3</v>
      </c>
      <c r="C1" s="240" t="s">
        <v>11</v>
      </c>
      <c r="D1" s="240" t="s">
        <v>12</v>
      </c>
      <c r="E1" s="240" t="s">
        <v>0</v>
      </c>
      <c r="F1" s="240" t="s">
        <v>10</v>
      </c>
      <c r="G1" s="240" t="s">
        <v>1</v>
      </c>
      <c r="H1" s="240" t="s">
        <v>4</v>
      </c>
      <c r="I1" s="240" t="s">
        <v>5</v>
      </c>
      <c r="J1" s="240" t="s">
        <v>6</v>
      </c>
      <c r="K1" s="240" t="s">
        <v>7</v>
      </c>
      <c r="L1" s="240" t="s">
        <v>8</v>
      </c>
      <c r="M1" s="396" t="s">
        <v>9</v>
      </c>
    </row>
    <row r="2" spans="1:13" ht="165" x14ac:dyDescent="0.25">
      <c r="A2" s="3" t="s">
        <v>1089</v>
      </c>
      <c r="B2" s="3">
        <v>1</v>
      </c>
      <c r="C2" s="3" t="s">
        <v>1090</v>
      </c>
      <c r="D2" s="50" t="s">
        <v>108</v>
      </c>
      <c r="E2" s="50" t="s">
        <v>108</v>
      </c>
      <c r="F2" s="49" t="s">
        <v>108</v>
      </c>
      <c r="G2" s="49" t="s">
        <v>108</v>
      </c>
      <c r="H2" s="3" t="s">
        <v>1091</v>
      </c>
      <c r="I2" s="3" t="s">
        <v>1092</v>
      </c>
      <c r="J2" s="3"/>
      <c r="K2" s="362" t="s">
        <v>1098</v>
      </c>
      <c r="L2" s="474" t="s">
        <v>1358</v>
      </c>
      <c r="M2" s="475" t="s">
        <v>1358</v>
      </c>
    </row>
    <row r="3" spans="1:13" ht="195" x14ac:dyDescent="0.25">
      <c r="A3" s="3" t="s">
        <v>1064</v>
      </c>
      <c r="B3" s="3">
        <v>2</v>
      </c>
      <c r="C3" s="3" t="s">
        <v>1148</v>
      </c>
      <c r="D3" s="3" t="s">
        <v>1071</v>
      </c>
      <c r="E3" s="3" t="s">
        <v>1072</v>
      </c>
      <c r="F3" s="13">
        <f>VLOOKUP(C3,[1]Ark1!$A:$E,5,FALSE)</f>
        <v>159</v>
      </c>
      <c r="G3" s="13">
        <v>159</v>
      </c>
      <c r="H3" s="3" t="s">
        <v>1066</v>
      </c>
      <c r="I3" s="3" t="s">
        <v>1073</v>
      </c>
      <c r="J3" s="3" t="s">
        <v>1074</v>
      </c>
      <c r="K3" s="362" t="s">
        <v>1135</v>
      </c>
      <c r="L3" s="474" t="s">
        <v>1801</v>
      </c>
      <c r="M3" s="475" t="s">
        <v>1826</v>
      </c>
    </row>
    <row r="4" spans="1:13" ht="105" x14ac:dyDescent="0.25">
      <c r="A4" s="3" t="s">
        <v>172</v>
      </c>
      <c r="B4" s="3">
        <v>3</v>
      </c>
      <c r="C4" s="3" t="s">
        <v>274</v>
      </c>
      <c r="D4" s="3" t="s">
        <v>274</v>
      </c>
      <c r="E4" s="3" t="s">
        <v>275</v>
      </c>
      <c r="F4" s="13">
        <v>2040</v>
      </c>
      <c r="G4" s="13">
        <v>4859</v>
      </c>
      <c r="H4" s="3" t="s">
        <v>173</v>
      </c>
      <c r="I4" s="3" t="s">
        <v>276</v>
      </c>
      <c r="J4" s="3"/>
      <c r="K4" s="362" t="s">
        <v>1785</v>
      </c>
      <c r="L4" s="474" t="s">
        <v>1802</v>
      </c>
      <c r="M4" s="475" t="s">
        <v>1833</v>
      </c>
    </row>
    <row r="5" spans="1:13" ht="210" x14ac:dyDescent="0.25">
      <c r="A5" s="3" t="s">
        <v>172</v>
      </c>
      <c r="B5" s="3">
        <v>4</v>
      </c>
      <c r="C5" s="3" t="s">
        <v>277</v>
      </c>
      <c r="D5" s="3" t="s">
        <v>277</v>
      </c>
      <c r="E5" s="3" t="s">
        <v>278</v>
      </c>
      <c r="F5" s="13">
        <v>160</v>
      </c>
      <c r="G5" s="13">
        <v>299</v>
      </c>
      <c r="H5" s="3" t="s">
        <v>173</v>
      </c>
      <c r="I5" s="3" t="s">
        <v>279</v>
      </c>
      <c r="J5" s="304" t="s">
        <v>1321</v>
      </c>
      <c r="K5" s="362" t="s">
        <v>1786</v>
      </c>
      <c r="L5" s="474" t="s">
        <v>1803</v>
      </c>
      <c r="M5" s="475" t="s">
        <v>1834</v>
      </c>
    </row>
    <row r="6" spans="1:13" ht="180" x14ac:dyDescent="0.25">
      <c r="A6" s="3" t="s">
        <v>21</v>
      </c>
      <c r="B6" s="3">
        <v>5</v>
      </c>
      <c r="C6" s="3" t="s">
        <v>145</v>
      </c>
      <c r="D6" s="3" t="s">
        <v>145</v>
      </c>
      <c r="E6" s="3" t="s">
        <v>146</v>
      </c>
      <c r="F6" s="13">
        <v>2142</v>
      </c>
      <c r="G6" s="13">
        <v>2144</v>
      </c>
      <c r="H6" s="3" t="s">
        <v>23</v>
      </c>
      <c r="I6" s="3" t="s">
        <v>147</v>
      </c>
      <c r="J6" s="3"/>
      <c r="K6" s="362" t="s">
        <v>1488</v>
      </c>
      <c r="L6" s="474" t="s">
        <v>1358</v>
      </c>
      <c r="M6" s="475" t="s">
        <v>1835</v>
      </c>
    </row>
    <row r="7" spans="1:13" ht="60" x14ac:dyDescent="0.25">
      <c r="A7" s="3" t="s">
        <v>1126</v>
      </c>
      <c r="B7" s="3">
        <v>6</v>
      </c>
      <c r="C7" s="3" t="s">
        <v>1129</v>
      </c>
      <c r="D7" s="3" t="s">
        <v>1129</v>
      </c>
      <c r="E7" s="3" t="s">
        <v>1130</v>
      </c>
      <c r="F7" s="13">
        <f>VLOOKUP(C7,[1]Ark1!$A:$E,5,FALSE)</f>
        <v>493</v>
      </c>
      <c r="G7" s="13">
        <v>2282</v>
      </c>
      <c r="H7" s="3" t="s">
        <v>1127</v>
      </c>
      <c r="I7" s="3" t="s">
        <v>1131</v>
      </c>
      <c r="J7" s="3"/>
      <c r="K7" s="474" t="s">
        <v>1149</v>
      </c>
      <c r="L7" s="474" t="s">
        <v>1358</v>
      </c>
      <c r="M7" s="475" t="s">
        <v>1834</v>
      </c>
    </row>
    <row r="8" spans="1:13" ht="60" x14ac:dyDescent="0.25">
      <c r="A8" s="3" t="s">
        <v>172</v>
      </c>
      <c r="B8" s="3">
        <v>7</v>
      </c>
      <c r="C8" s="3" t="s">
        <v>280</v>
      </c>
      <c r="D8" s="3" t="s">
        <v>280</v>
      </c>
      <c r="E8" s="3" t="s">
        <v>281</v>
      </c>
      <c r="F8" s="13">
        <v>1364</v>
      </c>
      <c r="G8" s="13">
        <v>1033</v>
      </c>
      <c r="H8" s="3" t="s">
        <v>173</v>
      </c>
      <c r="I8" s="3" t="s">
        <v>282</v>
      </c>
      <c r="J8" s="3"/>
      <c r="K8" s="362" t="s">
        <v>1136</v>
      </c>
      <c r="L8" s="474" t="s">
        <v>1358</v>
      </c>
      <c r="M8" s="475" t="s">
        <v>1834</v>
      </c>
    </row>
    <row r="9" spans="1:13" ht="45" x14ac:dyDescent="0.25">
      <c r="A9" s="3" t="s">
        <v>21</v>
      </c>
      <c r="B9" s="3">
        <v>8</v>
      </c>
      <c r="C9" s="3" t="s">
        <v>148</v>
      </c>
      <c r="D9" s="3" t="s">
        <v>148</v>
      </c>
      <c r="E9" s="3" t="s">
        <v>149</v>
      </c>
      <c r="F9" s="13">
        <v>5118</v>
      </c>
      <c r="G9" s="13">
        <v>14300</v>
      </c>
      <c r="H9" s="3" t="s">
        <v>23</v>
      </c>
      <c r="I9" s="3" t="s">
        <v>150</v>
      </c>
      <c r="J9" s="3"/>
      <c r="K9" s="476" t="s">
        <v>1137</v>
      </c>
      <c r="L9" s="474" t="s">
        <v>1358</v>
      </c>
      <c r="M9" s="476" t="s">
        <v>1836</v>
      </c>
    </row>
    <row r="10" spans="1:13" ht="135" x14ac:dyDescent="0.25">
      <c r="A10" s="3" t="s">
        <v>172</v>
      </c>
      <c r="B10" s="3">
        <v>9</v>
      </c>
      <c r="C10" s="3" t="s">
        <v>148</v>
      </c>
      <c r="D10" s="3" t="s">
        <v>148</v>
      </c>
      <c r="E10" s="3" t="s">
        <v>149</v>
      </c>
      <c r="F10" s="13">
        <v>5118</v>
      </c>
      <c r="G10" s="13">
        <v>14300</v>
      </c>
      <c r="H10" s="3" t="s">
        <v>173</v>
      </c>
      <c r="I10" s="3" t="s">
        <v>283</v>
      </c>
      <c r="J10" s="3"/>
      <c r="K10" s="476"/>
      <c r="L10" s="474" t="s">
        <v>1358</v>
      </c>
      <c r="M10" s="476"/>
    </row>
    <row r="11" spans="1:13" ht="45" x14ac:dyDescent="0.25">
      <c r="A11" s="3" t="s">
        <v>450</v>
      </c>
      <c r="B11" s="3">
        <v>10</v>
      </c>
      <c r="C11" s="3" t="s">
        <v>148</v>
      </c>
      <c r="D11" s="3" t="s">
        <v>148</v>
      </c>
      <c r="E11" s="3" t="s">
        <v>149</v>
      </c>
      <c r="F11" s="13">
        <v>5118</v>
      </c>
      <c r="G11" s="13">
        <v>14300</v>
      </c>
      <c r="H11" s="3" t="s">
        <v>447</v>
      </c>
      <c r="I11" s="3" t="s">
        <v>485</v>
      </c>
      <c r="J11" s="3"/>
      <c r="K11" s="476"/>
      <c r="L11" s="474" t="s">
        <v>1358</v>
      </c>
      <c r="M11" s="476"/>
    </row>
    <row r="12" spans="1:13" ht="120" x14ac:dyDescent="0.25">
      <c r="A12" s="3" t="s">
        <v>586</v>
      </c>
      <c r="B12" s="3">
        <v>11</v>
      </c>
      <c r="C12" s="3" t="s">
        <v>922</v>
      </c>
      <c r="D12" s="3" t="s">
        <v>922</v>
      </c>
      <c r="E12" s="3" t="s">
        <v>923</v>
      </c>
      <c r="F12" s="13">
        <v>983</v>
      </c>
      <c r="G12" s="13">
        <v>984</v>
      </c>
      <c r="H12" s="3" t="s">
        <v>924</v>
      </c>
      <c r="I12" s="3" t="s">
        <v>925</v>
      </c>
      <c r="J12" s="12" t="s">
        <v>141</v>
      </c>
      <c r="K12" s="362" t="s">
        <v>1138</v>
      </c>
      <c r="L12" s="474" t="s">
        <v>1804</v>
      </c>
      <c r="M12" s="475" t="s">
        <v>1837</v>
      </c>
    </row>
    <row r="13" spans="1:13" ht="150" x14ac:dyDescent="0.25">
      <c r="A13" s="3" t="s">
        <v>516</v>
      </c>
      <c r="B13" s="3">
        <v>12</v>
      </c>
      <c r="C13" s="3" t="s">
        <v>517</v>
      </c>
      <c r="D13" s="3" t="s">
        <v>517</v>
      </c>
      <c r="E13" s="3" t="s">
        <v>518</v>
      </c>
      <c r="F13" s="49" t="s">
        <v>519</v>
      </c>
      <c r="G13" s="49" t="s">
        <v>520</v>
      </c>
      <c r="H13" s="3" t="s">
        <v>521</v>
      </c>
      <c r="I13" s="3" t="s">
        <v>522</v>
      </c>
      <c r="J13" s="3"/>
      <c r="K13" s="362" t="s">
        <v>1139</v>
      </c>
      <c r="L13" s="474" t="s">
        <v>1358</v>
      </c>
      <c r="M13" s="475" t="s">
        <v>1838</v>
      </c>
    </row>
    <row r="14" spans="1:13" ht="240" x14ac:dyDescent="0.25">
      <c r="A14" s="3" t="s">
        <v>586</v>
      </c>
      <c r="B14" s="3">
        <v>13</v>
      </c>
      <c r="C14" s="3" t="s">
        <v>926</v>
      </c>
      <c r="D14" s="3" t="s">
        <v>926</v>
      </c>
      <c r="E14" s="3" t="s">
        <v>927</v>
      </c>
      <c r="F14" s="13">
        <v>655</v>
      </c>
      <c r="G14" s="13">
        <v>656</v>
      </c>
      <c r="H14" s="3" t="s">
        <v>924</v>
      </c>
      <c r="I14" s="3" t="s">
        <v>928</v>
      </c>
      <c r="J14" s="12" t="s">
        <v>141</v>
      </c>
      <c r="K14" s="362" t="s">
        <v>1138</v>
      </c>
      <c r="L14" s="474" t="s">
        <v>1358</v>
      </c>
      <c r="M14" s="475" t="s">
        <v>1840</v>
      </c>
    </row>
    <row r="15" spans="1:13" ht="150" x14ac:dyDescent="0.25">
      <c r="A15" s="3" t="s">
        <v>586</v>
      </c>
      <c r="B15" s="3">
        <v>14</v>
      </c>
      <c r="C15" s="3" t="s">
        <v>929</v>
      </c>
      <c r="D15" s="3" t="s">
        <v>929</v>
      </c>
      <c r="E15" s="3" t="s">
        <v>930</v>
      </c>
      <c r="F15" s="13">
        <v>328</v>
      </c>
      <c r="G15" s="13">
        <v>328</v>
      </c>
      <c r="H15" s="3" t="s">
        <v>924</v>
      </c>
      <c r="I15" s="3" t="s">
        <v>931</v>
      </c>
      <c r="J15" s="12" t="s">
        <v>141</v>
      </c>
      <c r="K15" s="362" t="s">
        <v>1138</v>
      </c>
      <c r="L15" s="474" t="s">
        <v>1358</v>
      </c>
      <c r="M15" s="475" t="s">
        <v>1839</v>
      </c>
    </row>
    <row r="16" spans="1:13" ht="105" x14ac:dyDescent="0.25">
      <c r="A16" s="3" t="s">
        <v>172</v>
      </c>
      <c r="B16" s="3">
        <v>15</v>
      </c>
      <c r="C16" s="3" t="s">
        <v>284</v>
      </c>
      <c r="D16" s="3" t="s">
        <v>284</v>
      </c>
      <c r="E16" s="3" t="s">
        <v>285</v>
      </c>
      <c r="F16" s="13">
        <v>8309</v>
      </c>
      <c r="G16" s="13">
        <v>13602</v>
      </c>
      <c r="H16" s="3" t="s">
        <v>173</v>
      </c>
      <c r="I16" s="3" t="s">
        <v>286</v>
      </c>
      <c r="J16" s="3"/>
      <c r="K16" s="362" t="s">
        <v>1787</v>
      </c>
      <c r="L16" s="474" t="s">
        <v>1358</v>
      </c>
      <c r="M16" s="475" t="s">
        <v>1834</v>
      </c>
    </row>
    <row r="17" spans="1:13" ht="195" x14ac:dyDescent="0.25">
      <c r="A17" s="3" t="s">
        <v>172</v>
      </c>
      <c r="B17" s="3">
        <v>16</v>
      </c>
      <c r="C17" s="3" t="s">
        <v>287</v>
      </c>
      <c r="D17" s="3" t="s">
        <v>287</v>
      </c>
      <c r="E17" s="3" t="s">
        <v>288</v>
      </c>
      <c r="F17" s="13">
        <v>3063</v>
      </c>
      <c r="G17" s="13">
        <v>6941</v>
      </c>
      <c r="H17" s="3" t="s">
        <v>173</v>
      </c>
      <c r="I17" s="3" t="s">
        <v>289</v>
      </c>
      <c r="J17" s="304" t="s">
        <v>1321</v>
      </c>
      <c r="K17" s="362" t="s">
        <v>1788</v>
      </c>
      <c r="L17" s="474" t="s">
        <v>1358</v>
      </c>
      <c r="M17" s="475" t="s">
        <v>1841</v>
      </c>
    </row>
    <row r="18" spans="1:13" ht="105" x14ac:dyDescent="0.25">
      <c r="A18" s="3" t="s">
        <v>21</v>
      </c>
      <c r="B18" s="3">
        <v>17</v>
      </c>
      <c r="C18" s="3" t="s">
        <v>151</v>
      </c>
      <c r="D18" s="3" t="s">
        <v>151</v>
      </c>
      <c r="E18" s="3" t="s">
        <v>152</v>
      </c>
      <c r="F18" s="13">
        <v>2290</v>
      </c>
      <c r="G18" s="13">
        <v>2292</v>
      </c>
      <c r="H18" s="3" t="s">
        <v>23</v>
      </c>
      <c r="I18" s="3" t="s">
        <v>153</v>
      </c>
      <c r="J18" s="3"/>
      <c r="K18" s="362" t="s">
        <v>1553</v>
      </c>
      <c r="L18" s="474" t="s">
        <v>1805</v>
      </c>
      <c r="M18" s="475" t="s">
        <v>1804</v>
      </c>
    </row>
    <row r="19" spans="1:13" ht="120" x14ac:dyDescent="0.25">
      <c r="A19" s="3" t="s">
        <v>172</v>
      </c>
      <c r="B19" s="3">
        <v>18</v>
      </c>
      <c r="C19" s="3" t="s">
        <v>290</v>
      </c>
      <c r="D19" s="3" t="s">
        <v>290</v>
      </c>
      <c r="E19" s="3" t="s">
        <v>291</v>
      </c>
      <c r="F19" s="13">
        <v>1660</v>
      </c>
      <c r="G19" s="13">
        <v>10738</v>
      </c>
      <c r="H19" s="3" t="s">
        <v>173</v>
      </c>
      <c r="I19" s="3" t="s">
        <v>292</v>
      </c>
      <c r="J19" s="12" t="s">
        <v>141</v>
      </c>
      <c r="K19" s="477" t="s">
        <v>1140</v>
      </c>
      <c r="L19" s="474" t="s">
        <v>1806</v>
      </c>
      <c r="M19" s="476" t="s">
        <v>1842</v>
      </c>
    </row>
    <row r="20" spans="1:13" ht="60" x14ac:dyDescent="0.25">
      <c r="A20" s="3" t="s">
        <v>450</v>
      </c>
      <c r="B20" s="3">
        <v>19</v>
      </c>
      <c r="C20" s="3" t="s">
        <v>486</v>
      </c>
      <c r="D20" s="3" t="s">
        <v>486</v>
      </c>
      <c r="E20" s="3" t="s">
        <v>487</v>
      </c>
      <c r="F20" s="13" t="s">
        <v>1150</v>
      </c>
      <c r="G20" s="13" t="s">
        <v>1151</v>
      </c>
      <c r="H20" s="3" t="s">
        <v>447</v>
      </c>
      <c r="I20" s="3" t="s">
        <v>488</v>
      </c>
      <c r="J20" s="3"/>
      <c r="K20" s="477"/>
      <c r="L20" s="474"/>
      <c r="M20" s="476"/>
    </row>
    <row r="21" spans="1:13" ht="60" x14ac:dyDescent="0.25">
      <c r="A21" s="3" t="s">
        <v>172</v>
      </c>
      <c r="B21" s="3">
        <v>20</v>
      </c>
      <c r="C21" s="3" t="s">
        <v>315</v>
      </c>
      <c r="D21" s="3" t="s">
        <v>314</v>
      </c>
      <c r="E21" s="3" t="s">
        <v>316</v>
      </c>
      <c r="F21" s="13" t="s">
        <v>317</v>
      </c>
      <c r="G21" s="13" t="s">
        <v>318</v>
      </c>
      <c r="H21" s="3" t="s">
        <v>173</v>
      </c>
      <c r="I21" s="3" t="s">
        <v>293</v>
      </c>
      <c r="J21" s="3"/>
      <c r="K21" s="474" t="s">
        <v>1141</v>
      </c>
      <c r="L21" s="474" t="s">
        <v>1358</v>
      </c>
      <c r="M21" s="475" t="s">
        <v>1834</v>
      </c>
    </row>
    <row r="22" spans="1:13" ht="60" x14ac:dyDescent="0.25">
      <c r="A22" s="3" t="s">
        <v>586</v>
      </c>
      <c r="B22" s="3">
        <v>21</v>
      </c>
      <c r="C22" s="3"/>
      <c r="D22" s="3" t="s">
        <v>949</v>
      </c>
      <c r="E22" s="3" t="s">
        <v>950</v>
      </c>
      <c r="F22" s="13"/>
      <c r="G22" s="13">
        <v>23896</v>
      </c>
      <c r="H22" s="3" t="s">
        <v>798</v>
      </c>
      <c r="I22" s="3" t="s">
        <v>951</v>
      </c>
      <c r="J22" s="3"/>
      <c r="K22" s="474" t="s">
        <v>1142</v>
      </c>
      <c r="L22" s="474" t="s">
        <v>1358</v>
      </c>
      <c r="M22" s="475" t="s">
        <v>1358</v>
      </c>
    </row>
    <row r="23" spans="1:13" ht="135" x14ac:dyDescent="0.25">
      <c r="A23" s="3" t="s">
        <v>586</v>
      </c>
      <c r="B23" s="3">
        <v>22</v>
      </c>
      <c r="C23" s="3" t="s">
        <v>949</v>
      </c>
      <c r="D23" s="3" t="s">
        <v>952</v>
      </c>
      <c r="E23" s="3" t="s">
        <v>953</v>
      </c>
      <c r="F23" s="13">
        <v>15190</v>
      </c>
      <c r="G23" s="13">
        <v>11815</v>
      </c>
      <c r="H23" s="3" t="s">
        <v>798</v>
      </c>
      <c r="I23" s="3" t="s">
        <v>954</v>
      </c>
      <c r="J23" s="3"/>
      <c r="K23" s="474" t="s">
        <v>1142</v>
      </c>
      <c r="L23" s="474" t="s">
        <v>1807</v>
      </c>
      <c r="M23" s="475" t="s">
        <v>1358</v>
      </c>
    </row>
    <row r="24" spans="1:13" ht="60" x14ac:dyDescent="0.25">
      <c r="A24" s="3" t="s">
        <v>586</v>
      </c>
      <c r="B24" s="3">
        <v>23</v>
      </c>
      <c r="C24" s="3" t="s">
        <v>955</v>
      </c>
      <c r="D24" s="3" t="s">
        <v>956</v>
      </c>
      <c r="E24" s="3" t="s">
        <v>957</v>
      </c>
      <c r="F24" s="13">
        <v>5965</v>
      </c>
      <c r="G24" s="13">
        <v>5971</v>
      </c>
      <c r="H24" s="3" t="s">
        <v>798</v>
      </c>
      <c r="I24" s="3" t="s">
        <v>954</v>
      </c>
      <c r="J24" s="3"/>
      <c r="K24" s="474" t="s">
        <v>1142</v>
      </c>
      <c r="L24" s="474" t="s">
        <v>1358</v>
      </c>
      <c r="M24" s="475"/>
    </row>
    <row r="25" spans="1:13" ht="90" x14ac:dyDescent="0.25">
      <c r="A25" s="3" t="s">
        <v>511</v>
      </c>
      <c r="B25" s="3">
        <v>24</v>
      </c>
      <c r="C25" s="3" t="s">
        <v>513</v>
      </c>
      <c r="D25" s="3" t="s">
        <v>513</v>
      </c>
      <c r="E25" s="3" t="s">
        <v>514</v>
      </c>
      <c r="F25" s="13">
        <f>VLOOKUP(C25,[1]Ark1!$A:$E,5,FALSE)</f>
        <v>2762</v>
      </c>
      <c r="G25" s="13">
        <v>3745</v>
      </c>
      <c r="H25" s="3" t="s">
        <v>515</v>
      </c>
      <c r="I25" s="3" t="s">
        <v>512</v>
      </c>
      <c r="J25" s="3"/>
      <c r="K25" s="474" t="s">
        <v>1789</v>
      </c>
      <c r="L25" s="474" t="s">
        <v>1358</v>
      </c>
      <c r="M25" s="475" t="s">
        <v>1827</v>
      </c>
    </row>
    <row r="26" spans="1:13" ht="240" customHeight="1" x14ac:dyDescent="0.25">
      <c r="A26" s="3" t="s">
        <v>21</v>
      </c>
      <c r="B26" s="3">
        <v>25</v>
      </c>
      <c r="C26" s="3" t="s">
        <v>154</v>
      </c>
      <c r="D26" s="3" t="s">
        <v>155</v>
      </c>
      <c r="E26" s="3" t="s">
        <v>156</v>
      </c>
      <c r="F26" s="13">
        <v>13044</v>
      </c>
      <c r="G26" s="13">
        <v>920</v>
      </c>
      <c r="H26" s="3" t="s">
        <v>23</v>
      </c>
      <c r="I26" s="3" t="s">
        <v>157</v>
      </c>
      <c r="J26" s="397" t="s">
        <v>1466</v>
      </c>
      <c r="K26" s="477" t="s">
        <v>1790</v>
      </c>
      <c r="L26" s="478" t="s">
        <v>1808</v>
      </c>
      <c r="M26" s="476" t="s">
        <v>1843</v>
      </c>
    </row>
    <row r="27" spans="1:13" ht="150" x14ac:dyDescent="0.25">
      <c r="A27" s="3" t="s">
        <v>172</v>
      </c>
      <c r="B27" s="3">
        <v>26</v>
      </c>
      <c r="C27" s="3" t="s">
        <v>154</v>
      </c>
      <c r="D27" s="3" t="s">
        <v>154</v>
      </c>
      <c r="E27" s="3" t="s">
        <v>156</v>
      </c>
      <c r="F27" s="13">
        <v>13044</v>
      </c>
      <c r="G27" s="13">
        <v>920</v>
      </c>
      <c r="H27" s="3" t="s">
        <v>173</v>
      </c>
      <c r="I27" s="3" t="s">
        <v>294</v>
      </c>
      <c r="J27" s="397"/>
      <c r="K27" s="477"/>
      <c r="L27" s="478"/>
      <c r="M27" s="476"/>
    </row>
    <row r="28" spans="1:13" ht="135" x14ac:dyDescent="0.25">
      <c r="A28" s="3" t="s">
        <v>172</v>
      </c>
      <c r="B28" s="3">
        <v>27</v>
      </c>
      <c r="C28" s="3" t="s">
        <v>295</v>
      </c>
      <c r="D28" s="3" t="s">
        <v>296</v>
      </c>
      <c r="E28" s="3" t="s">
        <v>297</v>
      </c>
      <c r="F28" s="13">
        <v>11511</v>
      </c>
      <c r="G28" s="13">
        <v>18878</v>
      </c>
      <c r="H28" s="3" t="s">
        <v>173</v>
      </c>
      <c r="I28" s="3" t="s">
        <v>298</v>
      </c>
      <c r="J28" s="12" t="s">
        <v>141</v>
      </c>
      <c r="K28" s="475" t="s">
        <v>1143</v>
      </c>
      <c r="L28" s="474" t="s">
        <v>1358</v>
      </c>
      <c r="M28" s="475" t="s">
        <v>1828</v>
      </c>
    </row>
    <row r="29" spans="1:13" ht="60" x14ac:dyDescent="0.25">
      <c r="A29" s="3" t="s">
        <v>586</v>
      </c>
      <c r="B29" s="3">
        <v>28</v>
      </c>
      <c r="C29" s="3" t="s">
        <v>295</v>
      </c>
      <c r="D29" s="3" t="s">
        <v>296</v>
      </c>
      <c r="E29" s="3" t="s">
        <v>297</v>
      </c>
      <c r="F29" s="13">
        <v>11511</v>
      </c>
      <c r="G29" s="13">
        <v>18878</v>
      </c>
      <c r="H29" s="3" t="s">
        <v>798</v>
      </c>
      <c r="I29" s="3" t="s">
        <v>958</v>
      </c>
      <c r="J29" s="3"/>
      <c r="K29" s="474" t="s">
        <v>1144</v>
      </c>
      <c r="L29" s="474" t="s">
        <v>1358</v>
      </c>
      <c r="M29" s="475" t="s">
        <v>1358</v>
      </c>
    </row>
    <row r="30" spans="1:13" ht="90" x14ac:dyDescent="0.25">
      <c r="A30" s="3" t="s">
        <v>21</v>
      </c>
      <c r="B30" s="3">
        <v>29</v>
      </c>
      <c r="C30" s="3" t="s">
        <v>158</v>
      </c>
      <c r="D30" s="3" t="s">
        <v>158</v>
      </c>
      <c r="E30" s="3" t="s">
        <v>159</v>
      </c>
      <c r="F30" s="13">
        <v>6900</v>
      </c>
      <c r="G30" s="13">
        <v>9328</v>
      </c>
      <c r="H30" s="3" t="s">
        <v>23</v>
      </c>
      <c r="I30" s="3" t="s">
        <v>160</v>
      </c>
      <c r="J30" s="3"/>
      <c r="K30" s="474" t="s">
        <v>1145</v>
      </c>
      <c r="L30" s="474" t="s">
        <v>1358</v>
      </c>
      <c r="M30" s="475"/>
    </row>
    <row r="31" spans="1:13" ht="255" x14ac:dyDescent="0.25">
      <c r="A31" s="3" t="s">
        <v>503</v>
      </c>
      <c r="B31" s="3">
        <v>30</v>
      </c>
      <c r="C31" s="3" t="s">
        <v>504</v>
      </c>
      <c r="D31" s="3" t="s">
        <v>504</v>
      </c>
      <c r="E31" s="3" t="s">
        <v>505</v>
      </c>
      <c r="F31" s="13" t="s">
        <v>506</v>
      </c>
      <c r="G31" s="13" t="s">
        <v>507</v>
      </c>
      <c r="H31" s="3" t="s">
        <v>508</v>
      </c>
      <c r="I31" s="3" t="s">
        <v>510</v>
      </c>
      <c r="J31" s="3" t="s">
        <v>509</v>
      </c>
      <c r="K31" s="477" t="s">
        <v>1809</v>
      </c>
      <c r="L31" s="478" t="s">
        <v>1810</v>
      </c>
      <c r="M31" s="476" t="s">
        <v>1844</v>
      </c>
    </row>
    <row r="32" spans="1:13" ht="105" x14ac:dyDescent="0.25">
      <c r="A32" s="3" t="s">
        <v>172</v>
      </c>
      <c r="B32" s="3">
        <v>31</v>
      </c>
      <c r="C32" s="3" t="s">
        <v>299</v>
      </c>
      <c r="D32" s="3" t="s">
        <v>299</v>
      </c>
      <c r="E32" s="3" t="s">
        <v>300</v>
      </c>
      <c r="F32" s="13" t="s">
        <v>506</v>
      </c>
      <c r="G32" s="13" t="s">
        <v>507</v>
      </c>
      <c r="H32" s="3" t="s">
        <v>173</v>
      </c>
      <c r="I32" s="3" t="s">
        <v>301</v>
      </c>
      <c r="J32" s="3"/>
      <c r="K32" s="477"/>
      <c r="L32" s="478"/>
      <c r="M32" s="476"/>
    </row>
    <row r="33" spans="1:13" ht="90" x14ac:dyDescent="0.25">
      <c r="A33" s="3" t="s">
        <v>21</v>
      </c>
      <c r="B33" s="3">
        <v>32</v>
      </c>
      <c r="C33" s="3" t="s">
        <v>161</v>
      </c>
      <c r="D33" s="3" t="s">
        <v>161</v>
      </c>
      <c r="E33" s="3" t="s">
        <v>162</v>
      </c>
      <c r="F33" s="13">
        <v>7176</v>
      </c>
      <c r="G33" s="13">
        <v>15568</v>
      </c>
      <c r="H33" s="3" t="s">
        <v>23</v>
      </c>
      <c r="I33" s="3" t="s">
        <v>163</v>
      </c>
      <c r="J33" s="3"/>
      <c r="K33" s="362" t="s">
        <v>1145</v>
      </c>
      <c r="L33" s="474" t="s">
        <v>1358</v>
      </c>
      <c r="M33" s="476"/>
    </row>
    <row r="34" spans="1:13" ht="165" x14ac:dyDescent="0.25">
      <c r="A34" s="3" t="s">
        <v>586</v>
      </c>
      <c r="B34" s="3">
        <v>33</v>
      </c>
      <c r="C34" s="3" t="s">
        <v>959</v>
      </c>
      <c r="D34" s="3" t="s">
        <v>959</v>
      </c>
      <c r="E34" s="3" t="s">
        <v>960</v>
      </c>
      <c r="F34" s="13"/>
      <c r="G34" s="13"/>
      <c r="H34" s="3" t="s">
        <v>588</v>
      </c>
      <c r="I34" s="3" t="s">
        <v>961</v>
      </c>
      <c r="J34" s="3"/>
      <c r="K34" s="477" t="s">
        <v>1134</v>
      </c>
      <c r="L34" s="474" t="s">
        <v>1358</v>
      </c>
      <c r="M34" s="476" t="s">
        <v>1845</v>
      </c>
    </row>
    <row r="35" spans="1:13" ht="90" customHeight="1" x14ac:dyDescent="0.25">
      <c r="A35" s="3" t="s">
        <v>172</v>
      </c>
      <c r="B35" s="3">
        <v>34</v>
      </c>
      <c r="C35" s="3" t="s">
        <v>302</v>
      </c>
      <c r="D35" s="3" t="s">
        <v>302</v>
      </c>
      <c r="E35" s="3" t="s">
        <v>303</v>
      </c>
      <c r="F35" s="13">
        <v>3899</v>
      </c>
      <c r="G35" s="13">
        <v>5649</v>
      </c>
      <c r="H35" s="3" t="s">
        <v>173</v>
      </c>
      <c r="I35" s="3" t="s">
        <v>304</v>
      </c>
      <c r="J35" s="3"/>
      <c r="K35" s="477"/>
      <c r="L35" s="474" t="s">
        <v>1358</v>
      </c>
      <c r="M35" s="476"/>
    </row>
    <row r="36" spans="1:13" ht="75" x14ac:dyDescent="0.25">
      <c r="A36" s="3" t="s">
        <v>586</v>
      </c>
      <c r="B36" s="3">
        <v>35</v>
      </c>
      <c r="C36" s="3" t="s">
        <v>302</v>
      </c>
      <c r="D36" s="3" t="s">
        <v>302</v>
      </c>
      <c r="E36" s="3" t="s">
        <v>303</v>
      </c>
      <c r="F36" s="13">
        <v>3899</v>
      </c>
      <c r="G36" s="13">
        <v>5649</v>
      </c>
      <c r="H36" s="3" t="s">
        <v>588</v>
      </c>
      <c r="I36" s="3" t="s">
        <v>962</v>
      </c>
      <c r="J36" s="3"/>
      <c r="K36" s="477"/>
      <c r="L36" s="474" t="s">
        <v>1358</v>
      </c>
      <c r="M36" s="476"/>
    </row>
    <row r="37" spans="1:13" ht="45" x14ac:dyDescent="0.25">
      <c r="A37" s="3" t="s">
        <v>450</v>
      </c>
      <c r="B37" s="3">
        <v>36</v>
      </c>
      <c r="C37" s="3" t="s">
        <v>489</v>
      </c>
      <c r="D37" s="3" t="s">
        <v>489</v>
      </c>
      <c r="E37" s="3" t="s">
        <v>490</v>
      </c>
      <c r="F37" s="13"/>
      <c r="G37" s="13"/>
      <c r="H37" s="3" t="s">
        <v>447</v>
      </c>
      <c r="I37" s="3" t="s">
        <v>491</v>
      </c>
      <c r="J37" s="3"/>
      <c r="K37" s="477"/>
      <c r="L37" s="474" t="s">
        <v>1358</v>
      </c>
      <c r="M37" s="476"/>
    </row>
    <row r="38" spans="1:13" ht="180" x14ac:dyDescent="0.25">
      <c r="A38" s="3" t="s">
        <v>172</v>
      </c>
      <c r="B38" s="3">
        <v>37</v>
      </c>
      <c r="C38" s="3" t="s">
        <v>305</v>
      </c>
      <c r="D38" s="3" t="s">
        <v>305</v>
      </c>
      <c r="E38" s="3" t="s">
        <v>306</v>
      </c>
      <c r="F38" s="13">
        <v>3003</v>
      </c>
      <c r="G38" s="13">
        <v>4369</v>
      </c>
      <c r="H38" s="3" t="s">
        <v>173</v>
      </c>
      <c r="I38" s="3" t="s">
        <v>307</v>
      </c>
      <c r="J38" s="3"/>
      <c r="K38" s="477"/>
      <c r="L38" s="474" t="s">
        <v>1358</v>
      </c>
      <c r="M38" s="476"/>
    </row>
    <row r="39" spans="1:13" ht="60" x14ac:dyDescent="0.25">
      <c r="A39" s="3" t="s">
        <v>586</v>
      </c>
      <c r="B39" s="3">
        <v>38</v>
      </c>
      <c r="C39" s="3" t="s">
        <v>305</v>
      </c>
      <c r="D39" s="3" t="s">
        <v>305</v>
      </c>
      <c r="E39" s="3" t="s">
        <v>306</v>
      </c>
      <c r="F39" s="13">
        <v>3003</v>
      </c>
      <c r="G39" s="13">
        <v>4369</v>
      </c>
      <c r="H39" s="3" t="s">
        <v>588</v>
      </c>
      <c r="I39" s="3" t="s">
        <v>962</v>
      </c>
      <c r="J39" s="3"/>
      <c r="K39" s="477"/>
      <c r="L39" s="474" t="s">
        <v>1358</v>
      </c>
      <c r="M39" s="476"/>
    </row>
    <row r="40" spans="1:13" ht="60" x14ac:dyDescent="0.25">
      <c r="A40" s="3" t="s">
        <v>172</v>
      </c>
      <c r="B40" s="3">
        <v>39</v>
      </c>
      <c r="C40" s="3" t="s">
        <v>308</v>
      </c>
      <c r="D40" s="3" t="s">
        <v>308</v>
      </c>
      <c r="E40" s="3" t="s">
        <v>309</v>
      </c>
      <c r="F40" s="13">
        <v>2882</v>
      </c>
      <c r="G40" s="13">
        <v>4079</v>
      </c>
      <c r="H40" s="3" t="s">
        <v>173</v>
      </c>
      <c r="I40" s="3" t="s">
        <v>310</v>
      </c>
      <c r="J40" s="3"/>
      <c r="K40" s="477"/>
      <c r="L40" s="474" t="s">
        <v>1358</v>
      </c>
      <c r="M40" s="476"/>
    </row>
    <row r="41" spans="1:13" ht="45" x14ac:dyDescent="0.25">
      <c r="A41" s="3" t="s">
        <v>586</v>
      </c>
      <c r="B41" s="3">
        <v>40</v>
      </c>
      <c r="C41" s="3" t="s">
        <v>308</v>
      </c>
      <c r="D41" s="3" t="s">
        <v>308</v>
      </c>
      <c r="E41" s="3" t="s">
        <v>309</v>
      </c>
      <c r="F41" s="13">
        <v>2882</v>
      </c>
      <c r="G41" s="13">
        <v>4079</v>
      </c>
      <c r="H41" s="3" t="s">
        <v>588</v>
      </c>
      <c r="I41" s="3" t="s">
        <v>962</v>
      </c>
      <c r="J41" s="3"/>
      <c r="K41" s="477"/>
      <c r="L41" s="474" t="s">
        <v>1358</v>
      </c>
      <c r="M41" s="476"/>
    </row>
    <row r="42" spans="1:13" ht="90" x14ac:dyDescent="0.25">
      <c r="A42" s="3" t="s">
        <v>172</v>
      </c>
      <c r="B42" s="3">
        <v>41</v>
      </c>
      <c r="C42" s="3" t="s">
        <v>311</v>
      </c>
      <c r="D42" s="3" t="s">
        <v>311</v>
      </c>
      <c r="E42" s="3" t="s">
        <v>312</v>
      </c>
      <c r="F42" s="13">
        <v>3192</v>
      </c>
      <c r="G42" s="13">
        <v>5993</v>
      </c>
      <c r="H42" s="3" t="s">
        <v>173</v>
      </c>
      <c r="I42" s="3" t="s">
        <v>313</v>
      </c>
      <c r="J42" s="3"/>
      <c r="K42" s="477"/>
      <c r="L42" s="474" t="s">
        <v>1358</v>
      </c>
      <c r="M42" s="476"/>
    </row>
    <row r="43" spans="1:13" ht="30" x14ac:dyDescent="0.25">
      <c r="A43" s="3" t="s">
        <v>586</v>
      </c>
      <c r="B43" s="3">
        <v>42</v>
      </c>
      <c r="C43" s="3" t="s">
        <v>311</v>
      </c>
      <c r="D43" s="3" t="s">
        <v>311</v>
      </c>
      <c r="E43" s="3" t="s">
        <v>312</v>
      </c>
      <c r="F43" s="13">
        <v>3192</v>
      </c>
      <c r="G43" s="13">
        <v>5993</v>
      </c>
      <c r="H43" s="3" t="s">
        <v>588</v>
      </c>
      <c r="I43" s="3" t="s">
        <v>962</v>
      </c>
      <c r="J43" s="3"/>
      <c r="K43" s="477"/>
      <c r="L43" s="474" t="s">
        <v>1358</v>
      </c>
      <c r="M43" s="476"/>
    </row>
    <row r="44" spans="1:13" ht="282.75" customHeight="1" x14ac:dyDescent="0.25">
      <c r="A44" s="399" t="s">
        <v>966</v>
      </c>
      <c r="B44" s="399">
        <v>43</v>
      </c>
      <c r="C44" s="399" t="s">
        <v>967</v>
      </c>
      <c r="D44" s="399" t="s">
        <v>967</v>
      </c>
      <c r="E44" s="399"/>
      <c r="F44" s="400"/>
      <c r="G44" s="400"/>
      <c r="H44" s="399" t="s">
        <v>965</v>
      </c>
      <c r="I44" s="398" t="s">
        <v>1097</v>
      </c>
      <c r="J44" s="398"/>
      <c r="K44" s="477"/>
      <c r="L44" s="478" t="s">
        <v>1358</v>
      </c>
      <c r="M44" s="476"/>
    </row>
    <row r="45" spans="1:13" ht="282.75" customHeight="1" x14ac:dyDescent="0.25">
      <c r="A45" s="399"/>
      <c r="B45" s="399"/>
      <c r="C45" s="399"/>
      <c r="D45" s="399"/>
      <c r="E45" s="399"/>
      <c r="F45" s="400"/>
      <c r="G45" s="400"/>
      <c r="H45" s="399"/>
      <c r="I45" s="398"/>
      <c r="J45" s="398"/>
      <c r="K45" s="477"/>
      <c r="L45" s="478"/>
      <c r="M45" s="476"/>
    </row>
    <row r="46" spans="1:13" ht="45" x14ac:dyDescent="0.25">
      <c r="A46" s="3" t="s">
        <v>523</v>
      </c>
      <c r="B46" s="3">
        <v>44</v>
      </c>
      <c r="C46" s="3" t="s">
        <v>540</v>
      </c>
      <c r="D46" s="3"/>
      <c r="E46" s="3" t="s">
        <v>541</v>
      </c>
      <c r="F46" s="13">
        <v>14443</v>
      </c>
      <c r="G46" s="13">
        <v>14458</v>
      </c>
      <c r="H46" s="3" t="s">
        <v>527</v>
      </c>
      <c r="I46" s="3" t="s">
        <v>551</v>
      </c>
      <c r="J46" s="3"/>
      <c r="K46" s="362" t="s">
        <v>1146</v>
      </c>
      <c r="L46" s="474" t="s">
        <v>1358</v>
      </c>
      <c r="M46" s="475" t="s">
        <v>1358</v>
      </c>
    </row>
    <row r="47" spans="1:13" ht="45" x14ac:dyDescent="0.25">
      <c r="A47" s="3" t="s">
        <v>523</v>
      </c>
      <c r="B47" s="3">
        <v>45</v>
      </c>
      <c r="C47" s="3" t="s">
        <v>540</v>
      </c>
      <c r="D47" s="3"/>
      <c r="E47" s="3" t="s">
        <v>542</v>
      </c>
      <c r="F47" s="13">
        <v>14443</v>
      </c>
      <c r="G47" s="13">
        <v>14458</v>
      </c>
      <c r="H47" s="3" t="s">
        <v>527</v>
      </c>
      <c r="I47" s="3" t="s">
        <v>555</v>
      </c>
      <c r="J47" s="3" t="s">
        <v>554</v>
      </c>
      <c r="K47" s="362" t="s">
        <v>1146</v>
      </c>
      <c r="L47" s="474" t="s">
        <v>1358</v>
      </c>
      <c r="M47" s="475" t="s">
        <v>1358</v>
      </c>
    </row>
    <row r="48" spans="1:13" ht="30" x14ac:dyDescent="0.25">
      <c r="A48" s="3" t="s">
        <v>523</v>
      </c>
      <c r="B48" s="3">
        <v>46</v>
      </c>
      <c r="C48" s="3" t="s">
        <v>538</v>
      </c>
      <c r="D48" s="3"/>
      <c r="E48" s="3" t="s">
        <v>539</v>
      </c>
      <c r="F48" s="13">
        <v>5625</v>
      </c>
      <c r="G48" s="13"/>
      <c r="H48" s="3" t="s">
        <v>527</v>
      </c>
      <c r="I48" s="3" t="s">
        <v>553</v>
      </c>
      <c r="J48" s="3"/>
      <c r="K48" s="362" t="s">
        <v>1146</v>
      </c>
      <c r="L48" s="474" t="s">
        <v>1358</v>
      </c>
      <c r="M48" s="475" t="s">
        <v>1358</v>
      </c>
    </row>
    <row r="49" spans="1:13" ht="45" x14ac:dyDescent="0.25">
      <c r="A49" s="3" t="s">
        <v>523</v>
      </c>
      <c r="B49" s="3">
        <v>47</v>
      </c>
      <c r="C49" s="3" t="s">
        <v>528</v>
      </c>
      <c r="D49" s="3" t="s">
        <v>524</v>
      </c>
      <c r="E49" s="3" t="s">
        <v>529</v>
      </c>
      <c r="F49" s="13">
        <v>3742</v>
      </c>
      <c r="G49" s="13">
        <v>1981</v>
      </c>
      <c r="H49" s="3" t="s">
        <v>527</v>
      </c>
      <c r="I49" s="3" t="s">
        <v>544</v>
      </c>
      <c r="J49" s="3"/>
      <c r="K49" s="362" t="s">
        <v>1146</v>
      </c>
      <c r="L49" s="474" t="s">
        <v>1358</v>
      </c>
      <c r="M49" s="475" t="s">
        <v>1358</v>
      </c>
    </row>
    <row r="50" spans="1:13" ht="45" x14ac:dyDescent="0.25">
      <c r="A50" s="3" t="s">
        <v>523</v>
      </c>
      <c r="B50" s="3">
        <v>48</v>
      </c>
      <c r="C50" s="3" t="s">
        <v>528</v>
      </c>
      <c r="D50" s="3" t="s">
        <v>524</v>
      </c>
      <c r="E50" s="3" t="s">
        <v>530</v>
      </c>
      <c r="F50" s="13">
        <v>3742</v>
      </c>
      <c r="G50" s="13">
        <v>1981</v>
      </c>
      <c r="H50" s="3" t="s">
        <v>527</v>
      </c>
      <c r="I50" s="3" t="s">
        <v>545</v>
      </c>
      <c r="J50" s="3"/>
      <c r="K50" s="362" t="s">
        <v>1146</v>
      </c>
      <c r="L50" s="474" t="s">
        <v>1358</v>
      </c>
      <c r="M50" s="475" t="s">
        <v>1358</v>
      </c>
    </row>
    <row r="51" spans="1:13" ht="30" x14ac:dyDescent="0.25">
      <c r="A51" s="3" t="s">
        <v>523</v>
      </c>
      <c r="B51" s="3">
        <v>49</v>
      </c>
      <c r="C51" s="3" t="s">
        <v>528</v>
      </c>
      <c r="D51" s="3" t="s">
        <v>524</v>
      </c>
      <c r="E51" s="3" t="s">
        <v>531</v>
      </c>
      <c r="F51" s="13">
        <v>3742</v>
      </c>
      <c r="G51" s="13">
        <v>1981</v>
      </c>
      <c r="H51" s="3" t="s">
        <v>527</v>
      </c>
      <c r="I51" s="3" t="s">
        <v>546</v>
      </c>
      <c r="J51" s="3"/>
      <c r="K51" s="362" t="s">
        <v>1146</v>
      </c>
      <c r="L51" s="474" t="s">
        <v>1358</v>
      </c>
      <c r="M51" s="475" t="s">
        <v>1358</v>
      </c>
    </row>
    <row r="52" spans="1:13" ht="45" x14ac:dyDescent="0.25">
      <c r="A52" s="3" t="s">
        <v>523</v>
      </c>
      <c r="B52" s="3">
        <v>50</v>
      </c>
      <c r="C52" s="3" t="s">
        <v>528</v>
      </c>
      <c r="D52" s="3" t="s">
        <v>524</v>
      </c>
      <c r="E52" s="3" t="s">
        <v>532</v>
      </c>
      <c r="F52" s="13">
        <v>3742</v>
      </c>
      <c r="G52" s="13">
        <v>1981</v>
      </c>
      <c r="H52" s="3" t="s">
        <v>527</v>
      </c>
      <c r="I52" s="3" t="s">
        <v>547</v>
      </c>
      <c r="J52" s="3"/>
      <c r="K52" s="362" t="s">
        <v>1146</v>
      </c>
      <c r="L52" s="474" t="s">
        <v>1358</v>
      </c>
      <c r="M52" s="475" t="s">
        <v>1358</v>
      </c>
    </row>
    <row r="53" spans="1:13" ht="60" x14ac:dyDescent="0.25">
      <c r="A53" s="3" t="s">
        <v>523</v>
      </c>
      <c r="B53" s="3">
        <v>51</v>
      </c>
      <c r="C53" s="3" t="s">
        <v>528</v>
      </c>
      <c r="D53" s="3" t="s">
        <v>524</v>
      </c>
      <c r="E53" s="3" t="s">
        <v>533</v>
      </c>
      <c r="F53" s="13">
        <v>3742</v>
      </c>
      <c r="G53" s="13">
        <v>1981</v>
      </c>
      <c r="H53" s="3" t="s">
        <v>527</v>
      </c>
      <c r="I53" s="3" t="s">
        <v>548</v>
      </c>
      <c r="J53" s="3"/>
      <c r="K53" s="362" t="s">
        <v>1146</v>
      </c>
      <c r="L53" s="474" t="s">
        <v>1358</v>
      </c>
      <c r="M53" s="475" t="s">
        <v>1358</v>
      </c>
    </row>
    <row r="54" spans="1:13" ht="45" x14ac:dyDescent="0.25">
      <c r="A54" s="3" t="s">
        <v>523</v>
      </c>
      <c r="B54" s="3">
        <v>52</v>
      </c>
      <c r="C54" s="3" t="s">
        <v>528</v>
      </c>
      <c r="D54" s="3" t="s">
        <v>524</v>
      </c>
      <c r="E54" s="3" t="s">
        <v>535</v>
      </c>
      <c r="F54" s="13">
        <v>3742</v>
      </c>
      <c r="G54" s="13">
        <v>1981</v>
      </c>
      <c r="H54" s="3" t="s">
        <v>527</v>
      </c>
      <c r="I54" s="3" t="s">
        <v>550</v>
      </c>
      <c r="J54" s="3"/>
      <c r="K54" s="362" t="s">
        <v>1146</v>
      </c>
      <c r="L54" s="474" t="s">
        <v>1358</v>
      </c>
      <c r="M54" s="475" t="s">
        <v>1358</v>
      </c>
    </row>
    <row r="55" spans="1:13" ht="45" x14ac:dyDescent="0.25">
      <c r="A55" s="3" t="s">
        <v>523</v>
      </c>
      <c r="B55" s="3">
        <v>53</v>
      </c>
      <c r="C55" s="3" t="s">
        <v>524</v>
      </c>
      <c r="D55" s="3" t="s">
        <v>525</v>
      </c>
      <c r="E55" s="3" t="s">
        <v>526</v>
      </c>
      <c r="F55" s="13">
        <v>1981</v>
      </c>
      <c r="G55" s="13">
        <v>1584</v>
      </c>
      <c r="H55" s="3" t="s">
        <v>527</v>
      </c>
      <c r="I55" s="3" t="s">
        <v>543</v>
      </c>
      <c r="J55" s="3"/>
      <c r="K55" s="362" t="s">
        <v>1146</v>
      </c>
      <c r="L55" s="474" t="s">
        <v>1358</v>
      </c>
      <c r="M55" s="475" t="s">
        <v>1358</v>
      </c>
    </row>
    <row r="56" spans="1:13" ht="45" x14ac:dyDescent="0.25">
      <c r="A56" s="3" t="s">
        <v>523</v>
      </c>
      <c r="B56" s="3">
        <v>54</v>
      </c>
      <c r="C56" s="3" t="s">
        <v>524</v>
      </c>
      <c r="D56" s="3" t="s">
        <v>528</v>
      </c>
      <c r="E56" s="3" t="s">
        <v>534</v>
      </c>
      <c r="F56" s="13">
        <v>1981</v>
      </c>
      <c r="G56" s="13">
        <v>3742</v>
      </c>
      <c r="H56" s="3" t="s">
        <v>527</v>
      </c>
      <c r="I56" s="3" t="s">
        <v>549</v>
      </c>
      <c r="J56" s="3"/>
      <c r="K56" s="362" t="s">
        <v>1146</v>
      </c>
      <c r="L56" s="474" t="s">
        <v>1358</v>
      </c>
      <c r="M56" s="475" t="s">
        <v>1358</v>
      </c>
    </row>
    <row r="57" spans="1:13" ht="30" x14ac:dyDescent="0.25">
      <c r="A57" s="3" t="s">
        <v>523</v>
      </c>
      <c r="B57" s="3">
        <v>55</v>
      </c>
      <c r="C57" s="3" t="s">
        <v>536</v>
      </c>
      <c r="D57" s="3"/>
      <c r="E57" s="3" t="s">
        <v>537</v>
      </c>
      <c r="F57" s="13">
        <v>11027</v>
      </c>
      <c r="G57" s="13"/>
      <c r="H57" s="3" t="s">
        <v>527</v>
      </c>
      <c r="I57" s="3" t="s">
        <v>552</v>
      </c>
      <c r="J57" s="3"/>
      <c r="K57" s="362" t="s">
        <v>1146</v>
      </c>
      <c r="L57" s="474" t="s">
        <v>1358</v>
      </c>
      <c r="M57" s="475" t="s">
        <v>1358</v>
      </c>
    </row>
    <row r="58" spans="1:13" ht="90" x14ac:dyDescent="0.25">
      <c r="A58" s="3" t="s">
        <v>1064</v>
      </c>
      <c r="B58" s="3">
        <v>56</v>
      </c>
      <c r="C58" s="3" t="s">
        <v>1065</v>
      </c>
      <c r="D58" s="3"/>
      <c r="E58" s="3"/>
      <c r="F58" s="13">
        <v>2502</v>
      </c>
      <c r="G58" s="13">
        <v>2505</v>
      </c>
      <c r="H58" s="3" t="s">
        <v>1066</v>
      </c>
      <c r="I58" s="3" t="s">
        <v>1067</v>
      </c>
      <c r="J58" s="3"/>
      <c r="K58" s="362" t="s">
        <v>1147</v>
      </c>
      <c r="L58" s="474" t="s">
        <v>1358</v>
      </c>
      <c r="M58" s="475" t="s">
        <v>1358</v>
      </c>
    </row>
    <row r="59" spans="1:13" ht="409.5" x14ac:dyDescent="0.25">
      <c r="A59" s="3" t="s">
        <v>1064</v>
      </c>
      <c r="B59" s="3">
        <v>57</v>
      </c>
      <c r="C59" s="3" t="s">
        <v>1068</v>
      </c>
      <c r="D59" s="3"/>
      <c r="E59" s="3"/>
      <c r="F59" s="13" t="s">
        <v>1153</v>
      </c>
      <c r="G59" s="13" t="s">
        <v>1154</v>
      </c>
      <c r="H59" s="3" t="s">
        <v>1066</v>
      </c>
      <c r="I59" s="3" t="s">
        <v>1070</v>
      </c>
      <c r="J59" s="3" t="s">
        <v>1069</v>
      </c>
      <c r="K59" s="474" t="s">
        <v>1147</v>
      </c>
      <c r="L59" s="474" t="s">
        <v>1358</v>
      </c>
      <c r="M59" s="475" t="s">
        <v>1358</v>
      </c>
    </row>
    <row r="60" spans="1:13" ht="90" x14ac:dyDescent="0.25">
      <c r="A60" s="3" t="s">
        <v>556</v>
      </c>
      <c r="B60" s="3">
        <v>58</v>
      </c>
      <c r="C60" s="3" t="s">
        <v>581</v>
      </c>
      <c r="D60" s="3" t="s">
        <v>581</v>
      </c>
      <c r="E60" s="3" t="s">
        <v>583</v>
      </c>
      <c r="F60" s="13" t="s">
        <v>1155</v>
      </c>
      <c r="G60" s="13" t="s">
        <v>1156</v>
      </c>
      <c r="H60" s="3" t="s">
        <v>557</v>
      </c>
      <c r="I60" s="3" t="s">
        <v>582</v>
      </c>
      <c r="J60" s="3"/>
      <c r="K60" s="362" t="s">
        <v>1147</v>
      </c>
      <c r="L60" s="474" t="s">
        <v>1358</v>
      </c>
      <c r="M60" s="475" t="s">
        <v>1358</v>
      </c>
    </row>
    <row r="61" spans="1:13" ht="135" x14ac:dyDescent="0.25">
      <c r="A61" s="3" t="s">
        <v>1075</v>
      </c>
      <c r="B61" s="3">
        <v>59</v>
      </c>
      <c r="C61" s="3" t="s">
        <v>1076</v>
      </c>
      <c r="D61" s="3" t="s">
        <v>1076</v>
      </c>
      <c r="E61" s="3" t="s">
        <v>1079</v>
      </c>
      <c r="F61" s="13">
        <f>VLOOKUP(C61,[1]Ark1!$A:$E,5,FALSE)</f>
        <v>4605</v>
      </c>
      <c r="G61" s="13">
        <v>4610</v>
      </c>
      <c r="H61" s="3" t="s">
        <v>1077</v>
      </c>
      <c r="I61" s="3" t="s">
        <v>1078</v>
      </c>
      <c r="J61" s="3"/>
      <c r="K61" s="474" t="s">
        <v>1147</v>
      </c>
      <c r="L61" s="474"/>
      <c r="M61" s="475" t="s">
        <v>1358</v>
      </c>
    </row>
    <row r="62" spans="1:13" ht="75" x14ac:dyDescent="0.25">
      <c r="A62" s="3" t="s">
        <v>450</v>
      </c>
      <c r="B62" s="3">
        <v>60</v>
      </c>
      <c r="C62" s="3" t="s">
        <v>492</v>
      </c>
      <c r="D62" s="3" t="s">
        <v>492</v>
      </c>
      <c r="E62" s="3" t="s">
        <v>493</v>
      </c>
      <c r="F62" s="13">
        <v>3515</v>
      </c>
      <c r="G62" s="13">
        <v>5744</v>
      </c>
      <c r="H62" s="3" t="s">
        <v>447</v>
      </c>
      <c r="I62" s="3" t="s">
        <v>494</v>
      </c>
      <c r="J62" s="12" t="s">
        <v>1321</v>
      </c>
      <c r="K62" s="476" t="s">
        <v>1375</v>
      </c>
      <c r="L62" s="478" t="s">
        <v>1825</v>
      </c>
      <c r="M62" s="476" t="s">
        <v>1834</v>
      </c>
    </row>
    <row r="63" spans="1:13" ht="390" x14ac:dyDescent="0.25">
      <c r="A63" s="3" t="s">
        <v>1093</v>
      </c>
      <c r="B63" s="3">
        <v>61</v>
      </c>
      <c r="C63" s="3" t="s">
        <v>492</v>
      </c>
      <c r="D63" s="3" t="s">
        <v>492</v>
      </c>
      <c r="E63" s="3" t="s">
        <v>493</v>
      </c>
      <c r="F63" s="13">
        <v>3515</v>
      </c>
      <c r="G63" s="13">
        <v>5744</v>
      </c>
      <c r="H63" s="3" t="s">
        <v>1094</v>
      </c>
      <c r="I63" s="3" t="s">
        <v>1096</v>
      </c>
      <c r="J63" s="3" t="s">
        <v>1095</v>
      </c>
      <c r="K63" s="476"/>
      <c r="L63" s="478"/>
      <c r="M63" s="476"/>
    </row>
  </sheetData>
  <sortState ref="A2:M60">
    <sortCondition ref="C2:C60"/>
  </sortState>
  <mergeCells count="26">
    <mergeCell ref="M19:M20"/>
    <mergeCell ref="M26:M27"/>
    <mergeCell ref="L62:L63"/>
    <mergeCell ref="K62:K63"/>
    <mergeCell ref="K9:K11"/>
    <mergeCell ref="K19:K20"/>
    <mergeCell ref="K26:K27"/>
    <mergeCell ref="K31:K32"/>
    <mergeCell ref="K34:K45"/>
    <mergeCell ref="M9:M11"/>
    <mergeCell ref="M31:M33"/>
    <mergeCell ref="M34:M45"/>
    <mergeCell ref="M62:M63"/>
    <mergeCell ref="A44:A45"/>
    <mergeCell ref="H44:H45"/>
    <mergeCell ref="G44:G45"/>
    <mergeCell ref="F44:F45"/>
    <mergeCell ref="E44:E45"/>
    <mergeCell ref="D44:D45"/>
    <mergeCell ref="C44:C45"/>
    <mergeCell ref="J26:J27"/>
    <mergeCell ref="I44:J45"/>
    <mergeCell ref="L44:L45"/>
    <mergeCell ref="B44:B45"/>
    <mergeCell ref="L26:L27"/>
    <mergeCell ref="L31:L32"/>
  </mergeCells>
  <hyperlinks>
    <hyperlink ref="J28" location="PG13Q!A1" display="Se link til beregning"/>
    <hyperlink ref="J19" location="PG10L!A1" display="Se link til beregning"/>
    <hyperlink ref="J12" location="'Akut jdm'!A1" display="Se link til beregning"/>
    <hyperlink ref="J14" location="'Udvidet jordemoderkons'!A1" display="Se link til beregning"/>
    <hyperlink ref="J15" location="'Basis jordemoderkons'!A1" display="Se link til beregning"/>
    <hyperlink ref="J62" location="'DAGS ST01B'!A1" display="Se link til udtræk fra eSundhed"/>
    <hyperlink ref="J26:J27" location="'DAGS PG13M'!A1" display="Se link til beregninger"/>
    <hyperlink ref="J5" location="'DAGS DG30S'!A1" display="Se link til udtræk fra eSundhed"/>
    <hyperlink ref="J17" location="tandbehandling!A1" display="Se link til udtræk fra eSundhed"/>
  </hyperlinks>
  <pageMargins left="0.70866141732283472" right="0.70866141732283472" top="0.74803149606299213" bottom="0.74803149606299213" header="0.31496062992125984" footer="0.31496062992125984"/>
  <pageSetup paperSize="9" scale="54" fitToHeight="0" orientation="landscape" r:id="rId1"/>
  <headerFooter>
    <oddHeader>&amp;CDAGS - høringssvar til DAGS-takster 2015</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N34" sqref="N34"/>
    </sheetView>
  </sheetViews>
  <sheetFormatPr defaultRowHeight="15" x14ac:dyDescent="0.25"/>
  <cols>
    <col min="1" max="1" width="11.5703125" style="258" bestFit="1" customWidth="1"/>
    <col min="2" max="2" width="5.140625" style="258" bestFit="1" customWidth="1"/>
    <col min="3" max="3" width="5" style="258" bestFit="1" customWidth="1"/>
    <col min="4" max="4" width="10.140625" style="258" customWidth="1"/>
    <col min="5" max="5" width="7.5703125" style="258" bestFit="1" customWidth="1"/>
    <col min="6" max="6" width="8.7109375" style="258" bestFit="1" customWidth="1"/>
    <col min="7" max="8" width="12.5703125" style="258" bestFit="1" customWidth="1"/>
    <col min="9" max="12" width="12.140625" style="258" bestFit="1" customWidth="1"/>
    <col min="13" max="13" width="9.140625" style="258"/>
    <col min="14" max="14" width="18.7109375" style="258" bestFit="1" customWidth="1"/>
    <col min="15" max="15" width="16.7109375" style="258" customWidth="1"/>
    <col min="16" max="16" width="11" style="258" bestFit="1" customWidth="1"/>
    <col min="17" max="16384" width="9.140625" style="258"/>
  </cols>
  <sheetData>
    <row r="1" spans="1:16" x14ac:dyDescent="0.25">
      <c r="A1" s="257" t="s">
        <v>1173</v>
      </c>
    </row>
    <row r="2" spans="1:16" x14ac:dyDescent="0.25">
      <c r="A2" s="259" t="s">
        <v>1174</v>
      </c>
      <c r="B2" s="259" t="s">
        <v>1175</v>
      </c>
      <c r="C2" s="259" t="s">
        <v>1176</v>
      </c>
      <c r="D2" s="259" t="s">
        <v>1177</v>
      </c>
      <c r="E2" s="259" t="s">
        <v>1178</v>
      </c>
      <c r="F2" s="259" t="s">
        <v>1179</v>
      </c>
      <c r="G2" s="259" t="s">
        <v>1180</v>
      </c>
      <c r="H2" s="259" t="s">
        <v>1181</v>
      </c>
      <c r="I2" s="259" t="s">
        <v>1182</v>
      </c>
      <c r="J2" s="259" t="s">
        <v>1183</v>
      </c>
      <c r="K2" s="259" t="s">
        <v>1184</v>
      </c>
      <c r="L2" s="259" t="s">
        <v>1185</v>
      </c>
      <c r="N2" s="260" t="s">
        <v>1186</v>
      </c>
    </row>
    <row r="3" spans="1:16" x14ac:dyDescent="0.25">
      <c r="A3" s="261" t="s">
        <v>805</v>
      </c>
      <c r="B3" s="261" t="s">
        <v>1187</v>
      </c>
      <c r="C3" s="261" t="s">
        <v>1188</v>
      </c>
      <c r="D3" s="261" t="s">
        <v>1189</v>
      </c>
      <c r="E3" s="261" t="s">
        <v>1190</v>
      </c>
      <c r="F3" s="261" t="s">
        <v>1191</v>
      </c>
      <c r="G3" s="262">
        <v>420561.90100999997</v>
      </c>
      <c r="H3" s="262">
        <v>420561.90100999997</v>
      </c>
      <c r="I3" s="262">
        <v>180896.91282999999</v>
      </c>
      <c r="J3" s="262">
        <v>186305.62927</v>
      </c>
      <c r="K3" s="262">
        <v>53359.358905000001</v>
      </c>
      <c r="L3" s="263">
        <v>35.142857143000001</v>
      </c>
      <c r="N3" s="264">
        <f>I3/L3</f>
        <v>5147.4731292880178</v>
      </c>
    </row>
    <row r="4" spans="1:16" x14ac:dyDescent="0.25">
      <c r="A4" s="261" t="s">
        <v>805</v>
      </c>
      <c r="B4" s="261" t="s">
        <v>1187</v>
      </c>
      <c r="C4" s="261" t="s">
        <v>1188</v>
      </c>
      <c r="D4" s="261" t="s">
        <v>1192</v>
      </c>
      <c r="E4" s="261" t="s">
        <v>1193</v>
      </c>
      <c r="F4" s="261" t="s">
        <v>1191</v>
      </c>
      <c r="G4" s="262">
        <v>352301.31273000001</v>
      </c>
      <c r="H4" s="262">
        <v>352301.31273000001</v>
      </c>
      <c r="I4" s="262">
        <v>118232.15702</v>
      </c>
      <c r="J4" s="262">
        <v>231825.51219000001</v>
      </c>
      <c r="K4" s="262">
        <v>2243.6435173</v>
      </c>
      <c r="L4" s="263">
        <v>32.461538462</v>
      </c>
      <c r="N4" s="264">
        <f>I4/L4</f>
        <v>3642.2228465358926</v>
      </c>
    </row>
    <row r="5" spans="1:16" x14ac:dyDescent="0.25">
      <c r="A5" s="265"/>
      <c r="B5" s="265"/>
      <c r="C5" s="265"/>
      <c r="D5" s="265"/>
      <c r="E5" s="265"/>
      <c r="F5" s="265"/>
      <c r="G5" s="266"/>
      <c r="H5" s="266"/>
      <c r="I5" s="266"/>
      <c r="J5" s="266"/>
      <c r="K5" s="266"/>
      <c r="L5" s="267"/>
      <c r="N5" s="264"/>
    </row>
    <row r="6" spans="1:16" x14ac:dyDescent="0.25">
      <c r="A6" s="257" t="s">
        <v>1194</v>
      </c>
    </row>
    <row r="7" spans="1:16" x14ac:dyDescent="0.25">
      <c r="A7" s="259" t="s">
        <v>1174</v>
      </c>
      <c r="B7" s="259" t="s">
        <v>1175</v>
      </c>
      <c r="C7" s="259" t="s">
        <v>1176</v>
      </c>
      <c r="D7" s="259" t="s">
        <v>1177</v>
      </c>
      <c r="E7" s="259" t="s">
        <v>1178</v>
      </c>
      <c r="F7" s="259" t="s">
        <v>1179</v>
      </c>
      <c r="G7" s="259" t="s">
        <v>1180</v>
      </c>
      <c r="H7" s="259" t="s">
        <v>1181</v>
      </c>
      <c r="I7" s="259" t="s">
        <v>1182</v>
      </c>
      <c r="J7" s="259" t="s">
        <v>1183</v>
      </c>
      <c r="K7" s="259" t="s">
        <v>1184</v>
      </c>
      <c r="L7" s="259" t="s">
        <v>1185</v>
      </c>
      <c r="N7" s="260" t="s">
        <v>814</v>
      </c>
      <c r="O7" s="260" t="s">
        <v>1195</v>
      </c>
      <c r="P7" s="268" t="s">
        <v>1196</v>
      </c>
    </row>
    <row r="8" spans="1:16" x14ac:dyDescent="0.25">
      <c r="A8" s="261" t="s">
        <v>805</v>
      </c>
      <c r="B8" s="261" t="s">
        <v>1187</v>
      </c>
      <c r="C8" s="261"/>
      <c r="D8" s="261" t="s">
        <v>1197</v>
      </c>
      <c r="E8" s="261">
        <v>88</v>
      </c>
      <c r="F8" s="261">
        <v>89</v>
      </c>
      <c r="G8" s="262">
        <v>390310.04938467464</v>
      </c>
      <c r="H8" s="262">
        <v>390310.04938467464</v>
      </c>
      <c r="I8" s="262">
        <v>153125.03241384428</v>
      </c>
      <c r="J8" s="262">
        <v>206479.21374911227</v>
      </c>
      <c r="K8" s="262">
        <v>30705.803221718073</v>
      </c>
      <c r="L8" s="263">
        <v>33.954545454545453</v>
      </c>
      <c r="N8" s="264">
        <v>11970</v>
      </c>
      <c r="O8" s="264">
        <f>L8*N8</f>
        <v>406435.90909090906</v>
      </c>
      <c r="P8" s="269">
        <f>O8+J8+K8</f>
        <v>643620.92606173933</v>
      </c>
    </row>
    <row r="9" spans="1:16" x14ac:dyDescent="0.25">
      <c r="A9" s="270"/>
      <c r="B9" s="270"/>
      <c r="C9" s="270"/>
      <c r="D9" s="271"/>
      <c r="E9" s="270"/>
      <c r="F9" s="272"/>
      <c r="G9" s="272"/>
      <c r="H9" s="272"/>
      <c r="I9" s="272"/>
      <c r="J9" s="272"/>
      <c r="K9" s="273"/>
      <c r="L9" s="274"/>
      <c r="N9" s="275"/>
      <c r="O9" s="275"/>
    </row>
    <row r="10" spans="1:16" x14ac:dyDescent="0.25">
      <c r="A10" s="276" t="s">
        <v>1198</v>
      </c>
      <c r="B10" s="274"/>
      <c r="C10" s="274"/>
      <c r="D10" s="274"/>
      <c r="E10" s="274"/>
      <c r="F10" s="274"/>
      <c r="G10" s="274"/>
      <c r="H10" s="274"/>
      <c r="I10" s="274"/>
      <c r="J10" s="274"/>
      <c r="K10" s="274"/>
      <c r="L10" s="274"/>
    </row>
    <row r="11" spans="1:16" x14ac:dyDescent="0.25">
      <c r="A11" s="468" t="s">
        <v>1199</v>
      </c>
      <c r="B11" s="468"/>
      <c r="C11" s="468"/>
      <c r="D11" s="468"/>
      <c r="E11" s="468"/>
      <c r="F11" s="468"/>
      <c r="G11" s="468"/>
      <c r="H11" s="468"/>
      <c r="I11" s="468"/>
      <c r="J11" s="468"/>
      <c r="K11" s="468"/>
      <c r="L11" s="468"/>
      <c r="M11" s="468"/>
      <c r="N11" s="468"/>
    </row>
    <row r="12" spans="1:16" x14ac:dyDescent="0.25">
      <c r="A12" s="468"/>
      <c r="B12" s="468"/>
      <c r="C12" s="468"/>
      <c r="D12" s="468"/>
      <c r="E12" s="468"/>
      <c r="F12" s="468"/>
      <c r="G12" s="468"/>
      <c r="H12" s="468"/>
      <c r="I12" s="468"/>
      <c r="J12" s="468"/>
      <c r="K12" s="468"/>
      <c r="L12" s="468"/>
      <c r="M12" s="468"/>
      <c r="N12" s="468"/>
    </row>
    <row r="13" spans="1:16" x14ac:dyDescent="0.25">
      <c r="A13" s="468"/>
      <c r="B13" s="468"/>
      <c r="C13" s="468"/>
      <c r="D13" s="468"/>
      <c r="E13" s="468"/>
      <c r="F13" s="468"/>
      <c r="G13" s="468"/>
      <c r="H13" s="468"/>
      <c r="I13" s="468"/>
      <c r="J13" s="468"/>
      <c r="K13" s="468"/>
      <c r="L13" s="468"/>
      <c r="M13" s="468"/>
      <c r="N13" s="468"/>
    </row>
    <row r="14" spans="1:16" x14ac:dyDescent="0.25">
      <c r="A14" s="468"/>
      <c r="B14" s="468"/>
      <c r="C14" s="468"/>
      <c r="D14" s="468"/>
      <c r="E14" s="468"/>
      <c r="F14" s="468"/>
      <c r="G14" s="468"/>
      <c r="H14" s="468"/>
      <c r="I14" s="468"/>
      <c r="J14" s="468"/>
      <c r="K14" s="468"/>
      <c r="L14" s="468"/>
      <c r="M14" s="468"/>
      <c r="N14" s="468"/>
    </row>
    <row r="15" spans="1:16" x14ac:dyDescent="0.25">
      <c r="A15" s="468"/>
      <c r="B15" s="468"/>
      <c r="C15" s="468"/>
      <c r="D15" s="468"/>
      <c r="E15" s="468"/>
      <c r="F15" s="468"/>
      <c r="G15" s="468"/>
      <c r="H15" s="468"/>
      <c r="I15" s="468"/>
      <c r="J15" s="468"/>
      <c r="K15" s="468"/>
      <c r="L15" s="468"/>
      <c r="M15" s="468"/>
      <c r="N15" s="468"/>
    </row>
    <row r="16" spans="1:16" x14ac:dyDescent="0.25">
      <c r="A16" s="277"/>
    </row>
    <row r="17" spans="1:7" x14ac:dyDescent="0.25">
      <c r="A17" s="278" t="s">
        <v>1200</v>
      </c>
      <c r="B17" s="279"/>
      <c r="C17" s="279"/>
      <c r="D17" s="279"/>
      <c r="E17" s="279"/>
      <c r="F17" s="279"/>
      <c r="G17" s="279"/>
    </row>
    <row r="18" spans="1:7" x14ac:dyDescent="0.25">
      <c r="A18" s="278" t="s">
        <v>1201</v>
      </c>
      <c r="B18" s="278"/>
      <c r="C18" s="278"/>
      <c r="D18" s="278"/>
      <c r="E18" s="278"/>
      <c r="F18" s="278"/>
      <c r="G18" s="279"/>
    </row>
    <row r="24" spans="1:7" x14ac:dyDescent="0.25">
      <c r="D24" s="280"/>
    </row>
  </sheetData>
  <mergeCells count="1">
    <mergeCell ref="A11:N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heetViews>
  <sheetFormatPr defaultRowHeight="15" x14ac:dyDescent="0.25"/>
  <cols>
    <col min="1" max="1" width="11.5703125" style="258" bestFit="1" customWidth="1"/>
    <col min="2" max="2" width="5.140625" style="258" bestFit="1" customWidth="1"/>
    <col min="3" max="3" width="5" style="258" bestFit="1" customWidth="1"/>
    <col min="4" max="4" width="9" style="258" bestFit="1" customWidth="1"/>
    <col min="5" max="5" width="7.5703125" style="258" bestFit="1" customWidth="1"/>
    <col min="6" max="6" width="8.7109375" style="258" bestFit="1" customWidth="1"/>
    <col min="7" max="8" width="12.5703125" style="258" bestFit="1" customWidth="1"/>
    <col min="9" max="12" width="12.140625" style="258" bestFit="1" customWidth="1"/>
    <col min="13" max="16384" width="9.140625" style="258"/>
  </cols>
  <sheetData>
    <row r="1" spans="1:12" x14ac:dyDescent="0.25">
      <c r="A1" s="257" t="s">
        <v>1202</v>
      </c>
    </row>
    <row r="2" spans="1:12" x14ac:dyDescent="0.25">
      <c r="A2" s="259" t="s">
        <v>1174</v>
      </c>
      <c r="B2" s="259" t="s">
        <v>1203</v>
      </c>
      <c r="C2" s="259" t="s">
        <v>1175</v>
      </c>
      <c r="D2" s="259" t="s">
        <v>1177</v>
      </c>
      <c r="E2" s="259" t="s">
        <v>1178</v>
      </c>
      <c r="F2" s="259" t="s">
        <v>1179</v>
      </c>
      <c r="G2" s="259" t="s">
        <v>1180</v>
      </c>
      <c r="H2" s="259" t="s">
        <v>1181</v>
      </c>
      <c r="I2" s="259" t="s">
        <v>1182</v>
      </c>
      <c r="J2" s="259" t="s">
        <v>1183</v>
      </c>
      <c r="K2" s="259" t="s">
        <v>1184</v>
      </c>
      <c r="L2" s="259" t="s">
        <v>1185</v>
      </c>
    </row>
    <row r="3" spans="1:12" x14ac:dyDescent="0.25">
      <c r="A3" s="281" t="s">
        <v>808</v>
      </c>
      <c r="B3" s="281" t="s">
        <v>1204</v>
      </c>
      <c r="C3" s="281">
        <v>1301</v>
      </c>
      <c r="D3" s="281" t="s">
        <v>1189</v>
      </c>
      <c r="E3" s="281">
        <v>18</v>
      </c>
      <c r="F3" s="281">
        <v>43</v>
      </c>
      <c r="G3" s="282">
        <v>260664.14949272361</v>
      </c>
      <c r="H3" s="282">
        <v>260664.14949272361</v>
      </c>
      <c r="I3" s="282">
        <v>12739.052110526345</v>
      </c>
      <c r="J3" s="282">
        <v>245296.18706060454</v>
      </c>
      <c r="K3" s="282">
        <v>2628.9103215927103</v>
      </c>
      <c r="L3" s="282">
        <v>45.277777777777779</v>
      </c>
    </row>
    <row r="4" spans="1:12" x14ac:dyDescent="0.25">
      <c r="A4" s="281" t="s">
        <v>808</v>
      </c>
      <c r="B4" s="281" t="s">
        <v>1204</v>
      </c>
      <c r="C4" s="281">
        <v>1301</v>
      </c>
      <c r="D4" s="281" t="s">
        <v>1192</v>
      </c>
      <c r="E4" s="281">
        <v>25</v>
      </c>
      <c r="F4" s="281">
        <v>43</v>
      </c>
      <c r="G4" s="282">
        <v>1154538.1676146414</v>
      </c>
      <c r="H4" s="282">
        <v>1154538.1676146414</v>
      </c>
      <c r="I4" s="282">
        <v>692313.36870641308</v>
      </c>
      <c r="J4" s="282">
        <v>459379.06997079292</v>
      </c>
      <c r="K4" s="282">
        <v>2845.7289374352986</v>
      </c>
      <c r="L4" s="282">
        <v>53.52</v>
      </c>
    </row>
    <row r="6" spans="1:12" x14ac:dyDescent="0.25">
      <c r="A6" s="257" t="s">
        <v>1205</v>
      </c>
    </row>
    <row r="7" spans="1:12" x14ac:dyDescent="0.25">
      <c r="A7" s="259" t="s">
        <v>1174</v>
      </c>
      <c r="B7" s="259" t="s">
        <v>1175</v>
      </c>
      <c r="C7" s="259" t="s">
        <v>1176</v>
      </c>
      <c r="D7" s="259" t="s">
        <v>1177</v>
      </c>
      <c r="E7" s="259" t="s">
        <v>1178</v>
      </c>
      <c r="F7" s="259" t="s">
        <v>1179</v>
      </c>
      <c r="G7" s="259" t="s">
        <v>1180</v>
      </c>
      <c r="H7" s="259" t="s">
        <v>1181</v>
      </c>
      <c r="I7" s="259" t="s">
        <v>1182</v>
      </c>
      <c r="J7" s="259" t="s">
        <v>1183</v>
      </c>
      <c r="K7" s="259" t="s">
        <v>1184</v>
      </c>
      <c r="L7" s="259" t="s">
        <v>1185</v>
      </c>
    </row>
    <row r="8" spans="1:12" x14ac:dyDescent="0.25">
      <c r="A8" s="283" t="s">
        <v>808</v>
      </c>
      <c r="B8" s="283" t="s">
        <v>1187</v>
      </c>
      <c r="C8" s="283" t="s">
        <v>1188</v>
      </c>
      <c r="D8" s="283" t="s">
        <v>1189</v>
      </c>
      <c r="E8" s="283" t="s">
        <v>1206</v>
      </c>
      <c r="F8" s="283" t="s">
        <v>1207</v>
      </c>
      <c r="G8" s="284">
        <v>646158.37713000004</v>
      </c>
      <c r="H8" s="284">
        <v>646158.37713000004</v>
      </c>
      <c r="I8" s="284">
        <v>226917.97751</v>
      </c>
      <c r="J8" s="284">
        <v>372727.08252</v>
      </c>
      <c r="K8" s="284">
        <v>46513.317102000001</v>
      </c>
      <c r="L8" s="285">
        <v>41</v>
      </c>
    </row>
    <row r="9" spans="1:12" x14ac:dyDescent="0.25">
      <c r="A9" s="283" t="s">
        <v>808</v>
      </c>
      <c r="B9" s="283" t="s">
        <v>1187</v>
      </c>
      <c r="C9" s="283" t="s">
        <v>1188</v>
      </c>
      <c r="D9" s="283" t="s">
        <v>1192</v>
      </c>
      <c r="E9" s="283" t="s">
        <v>1208</v>
      </c>
      <c r="F9" s="283" t="s">
        <v>1207</v>
      </c>
      <c r="G9" s="284">
        <v>717448.18102999998</v>
      </c>
      <c r="H9" s="284">
        <v>717448.18102999998</v>
      </c>
      <c r="I9" s="284">
        <v>150630.13086999999</v>
      </c>
      <c r="J9" s="284">
        <v>550220.34224999999</v>
      </c>
      <c r="K9" s="284">
        <v>16597.707910000001</v>
      </c>
      <c r="L9" s="285">
        <v>43</v>
      </c>
    </row>
    <row r="10" spans="1:12" x14ac:dyDescent="0.25">
      <c r="A10" s="283" t="s">
        <v>808</v>
      </c>
      <c r="B10" s="283" t="s">
        <v>1187</v>
      </c>
      <c r="C10" s="283" t="s">
        <v>1209</v>
      </c>
      <c r="D10" s="283" t="s">
        <v>1189</v>
      </c>
      <c r="E10" s="283" t="s">
        <v>1210</v>
      </c>
      <c r="F10" s="283" t="s">
        <v>1207</v>
      </c>
      <c r="G10" s="284">
        <v>237988.01845999999</v>
      </c>
      <c r="H10" s="284">
        <v>237988.01845999999</v>
      </c>
      <c r="I10" s="284">
        <v>140.29179293999999</v>
      </c>
      <c r="J10" s="284">
        <v>237800.25203</v>
      </c>
      <c r="K10" s="284">
        <v>47.474628607</v>
      </c>
      <c r="L10" s="285">
        <v>45.529411764999999</v>
      </c>
    </row>
    <row r="11" spans="1:12" x14ac:dyDescent="0.25">
      <c r="A11" s="283" t="s">
        <v>808</v>
      </c>
      <c r="B11" s="283" t="s">
        <v>1187</v>
      </c>
      <c r="C11" s="283" t="s">
        <v>1209</v>
      </c>
      <c r="D11" s="283" t="s">
        <v>1192</v>
      </c>
      <c r="E11" s="283" t="s">
        <v>1211</v>
      </c>
      <c r="F11" s="283" t="s">
        <v>1207</v>
      </c>
      <c r="G11" s="284">
        <v>1192545.9924999999</v>
      </c>
      <c r="H11" s="284">
        <v>1192545.9924999999</v>
      </c>
      <c r="I11" s="284">
        <v>739416.25895000005</v>
      </c>
      <c r="J11" s="284">
        <v>451479.82890000002</v>
      </c>
      <c r="K11" s="284">
        <v>1649.9046788999999</v>
      </c>
      <c r="L11" s="285">
        <v>54.434782609000003</v>
      </c>
    </row>
    <row r="14" spans="1:12" x14ac:dyDescent="0.25">
      <c r="A14" s="257" t="s">
        <v>1198</v>
      </c>
    </row>
    <row r="15" spans="1:12" x14ac:dyDescent="0.25">
      <c r="A15" s="258" t="s">
        <v>1212</v>
      </c>
    </row>
    <row r="16" spans="1:12" x14ac:dyDescent="0.25">
      <c r="A16" s="258" t="s">
        <v>1213</v>
      </c>
    </row>
    <row r="18" spans="1:7" x14ac:dyDescent="0.25">
      <c r="A18" s="258" t="s">
        <v>1214</v>
      </c>
    </row>
    <row r="19" spans="1:7" x14ac:dyDescent="0.25">
      <c r="A19" s="258" t="s">
        <v>1215</v>
      </c>
    </row>
    <row r="20" spans="1:7" x14ac:dyDescent="0.25">
      <c r="A20" s="258" t="s">
        <v>1216</v>
      </c>
    </row>
    <row r="22" spans="1:7" x14ac:dyDescent="0.25">
      <c r="A22" s="258" t="s">
        <v>1217</v>
      </c>
    </row>
    <row r="23" spans="1:7" x14ac:dyDescent="0.25">
      <c r="A23" s="277" t="s">
        <v>1218</v>
      </c>
    </row>
    <row r="24" spans="1:7" x14ac:dyDescent="0.25">
      <c r="A24" s="277"/>
    </row>
    <row r="25" spans="1:7" x14ac:dyDescent="0.25">
      <c r="A25" s="278" t="s">
        <v>1200</v>
      </c>
      <c r="B25" s="279"/>
      <c r="C25" s="279"/>
      <c r="D25" s="279"/>
      <c r="E25" s="279"/>
      <c r="F25" s="279"/>
      <c r="G25" s="279"/>
    </row>
    <row r="26" spans="1:7" x14ac:dyDescent="0.25">
      <c r="A26" s="278" t="s">
        <v>1219</v>
      </c>
      <c r="B26" s="278"/>
      <c r="C26" s="278"/>
      <c r="D26" s="278"/>
      <c r="E26" s="278"/>
      <c r="F26" s="278"/>
      <c r="G26" s="27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heetViews>
  <sheetFormatPr defaultRowHeight="15" x14ac:dyDescent="0.25"/>
  <cols>
    <col min="1" max="1" width="11.5703125" style="258" bestFit="1" customWidth="1"/>
    <col min="2" max="2" width="5.140625" style="258" bestFit="1" customWidth="1"/>
    <col min="3" max="3" width="5" style="258" bestFit="1" customWidth="1"/>
    <col min="4" max="4" width="10" style="258" customWidth="1"/>
    <col min="5" max="5" width="7.5703125" style="258" bestFit="1" customWidth="1"/>
    <col min="6" max="6" width="8.7109375" style="258" bestFit="1" customWidth="1"/>
    <col min="7" max="8" width="12.5703125" style="258" bestFit="1" customWidth="1"/>
    <col min="9" max="12" width="12.140625" style="258" bestFit="1" customWidth="1"/>
    <col min="13" max="13" width="9.140625" style="258"/>
    <col min="14" max="14" width="18.7109375" style="258" bestFit="1" customWidth="1"/>
    <col min="15" max="16" width="16.7109375" style="258" customWidth="1"/>
    <col min="17" max="17" width="11" style="258" bestFit="1" customWidth="1"/>
    <col min="18" max="16384" width="9.140625" style="258"/>
  </cols>
  <sheetData>
    <row r="1" spans="1:17" x14ac:dyDescent="0.25">
      <c r="A1" s="257" t="s">
        <v>1173</v>
      </c>
    </row>
    <row r="2" spans="1:17" x14ac:dyDescent="0.25">
      <c r="A2" s="259" t="s">
        <v>1174</v>
      </c>
      <c r="B2" s="259" t="s">
        <v>1175</v>
      </c>
      <c r="C2" s="259" t="s">
        <v>1176</v>
      </c>
      <c r="D2" s="259" t="s">
        <v>1177</v>
      </c>
      <c r="E2" s="259" t="s">
        <v>1178</v>
      </c>
      <c r="F2" s="259" t="s">
        <v>1179</v>
      </c>
      <c r="G2" s="259" t="s">
        <v>1180</v>
      </c>
      <c r="H2" s="259" t="s">
        <v>1181</v>
      </c>
      <c r="I2" s="259" t="s">
        <v>1182</v>
      </c>
      <c r="J2" s="259" t="s">
        <v>1183</v>
      </c>
      <c r="K2" s="259" t="s">
        <v>1184</v>
      </c>
      <c r="L2" s="259" t="s">
        <v>1185</v>
      </c>
      <c r="N2" s="260" t="s">
        <v>1186</v>
      </c>
    </row>
    <row r="3" spans="1:17" x14ac:dyDescent="0.25">
      <c r="A3" s="261" t="s">
        <v>1220</v>
      </c>
      <c r="B3" s="261" t="s">
        <v>1187</v>
      </c>
      <c r="C3" s="261" t="s">
        <v>1221</v>
      </c>
      <c r="D3" s="261" t="s">
        <v>1189</v>
      </c>
      <c r="E3" s="261" t="s">
        <v>1222</v>
      </c>
      <c r="F3" s="261" t="s">
        <v>1223</v>
      </c>
      <c r="G3" s="262">
        <v>38520.955011999999</v>
      </c>
      <c r="H3" s="262">
        <v>40100.090330999999</v>
      </c>
      <c r="I3" s="262">
        <v>0</v>
      </c>
      <c r="J3" s="262">
        <v>40089.739939999999</v>
      </c>
      <c r="K3" s="262">
        <v>10.350391365</v>
      </c>
      <c r="L3" s="263">
        <v>2.3294117647000001</v>
      </c>
      <c r="N3" s="264">
        <f>I3/L3</f>
        <v>0</v>
      </c>
    </row>
    <row r="4" spans="1:17" x14ac:dyDescent="0.25">
      <c r="A4" s="261" t="s">
        <v>1220</v>
      </c>
      <c r="B4" s="261" t="s">
        <v>1187</v>
      </c>
      <c r="C4" s="261" t="s">
        <v>1221</v>
      </c>
      <c r="D4" s="261" t="s">
        <v>1192</v>
      </c>
      <c r="E4" s="261" t="s">
        <v>1224</v>
      </c>
      <c r="F4" s="261" t="s">
        <v>1223</v>
      </c>
      <c r="G4" s="262">
        <v>7897.2241617</v>
      </c>
      <c r="H4" s="262">
        <v>7897.2241617</v>
      </c>
      <c r="I4" s="262">
        <v>7852.2943670000004</v>
      </c>
      <c r="J4" s="262">
        <v>44.929794686000001</v>
      </c>
      <c r="K4" s="262">
        <v>0</v>
      </c>
      <c r="L4" s="263">
        <v>1.9135802469000001</v>
      </c>
      <c r="N4" s="264">
        <f>I4/L4</f>
        <v>4103.4570563323468</v>
      </c>
    </row>
    <row r="5" spans="1:17" x14ac:dyDescent="0.25">
      <c r="A5" s="265"/>
      <c r="B5" s="265"/>
      <c r="C5" s="265"/>
      <c r="D5" s="265"/>
      <c r="E5" s="265"/>
      <c r="F5" s="265"/>
      <c r="G5" s="266"/>
      <c r="H5" s="266"/>
      <c r="I5" s="266"/>
      <c r="J5" s="266"/>
      <c r="K5" s="266"/>
      <c r="L5" s="267"/>
      <c r="N5" s="264"/>
    </row>
    <row r="6" spans="1:17" x14ac:dyDescent="0.25">
      <c r="A6" s="257" t="s">
        <v>1194</v>
      </c>
    </row>
    <row r="7" spans="1:17" x14ac:dyDescent="0.25">
      <c r="A7" s="259" t="s">
        <v>1174</v>
      </c>
      <c r="B7" s="259" t="s">
        <v>1175</v>
      </c>
      <c r="C7" s="259" t="s">
        <v>1176</v>
      </c>
      <c r="D7" s="259" t="s">
        <v>1177</v>
      </c>
      <c r="E7" s="259" t="s">
        <v>1178</v>
      </c>
      <c r="F7" s="259" t="s">
        <v>1179</v>
      </c>
      <c r="G7" s="259" t="s">
        <v>1180</v>
      </c>
      <c r="H7" s="259" t="s">
        <v>1181</v>
      </c>
      <c r="I7" s="259" t="s">
        <v>1182</v>
      </c>
      <c r="J7" s="259" t="s">
        <v>1183</v>
      </c>
      <c r="K7" s="259" t="s">
        <v>1184</v>
      </c>
      <c r="L7" s="259" t="s">
        <v>1185</v>
      </c>
      <c r="N7" s="260" t="s">
        <v>814</v>
      </c>
      <c r="O7" s="260" t="s">
        <v>1195</v>
      </c>
      <c r="P7" s="260" t="s">
        <v>1225</v>
      </c>
      <c r="Q7" s="268" t="s">
        <v>1196</v>
      </c>
    </row>
    <row r="8" spans="1:17" x14ac:dyDescent="0.25">
      <c r="A8" s="261" t="s">
        <v>805</v>
      </c>
      <c r="B8" s="261" t="s">
        <v>1187</v>
      </c>
      <c r="C8" s="261"/>
      <c r="D8" s="261" t="s">
        <v>1197</v>
      </c>
      <c r="E8" s="261">
        <v>166</v>
      </c>
      <c r="F8" s="261">
        <v>401</v>
      </c>
      <c r="G8" s="262">
        <v>23578.050199228008</v>
      </c>
      <c r="H8" s="262">
        <v>24386.64358569535</v>
      </c>
      <c r="I8" s="262">
        <v>3831.5412272556659</v>
      </c>
      <c r="J8" s="262">
        <v>20549.802459246712</v>
      </c>
      <c r="K8" s="262">
        <v>5.2998991930111456</v>
      </c>
      <c r="L8" s="263">
        <v>2.1265060240963853</v>
      </c>
      <c r="N8" s="264">
        <v>4254.8742385062569</v>
      </c>
      <c r="O8" s="264">
        <f>L8*N8</f>
        <v>9048.015699956075</v>
      </c>
      <c r="P8" s="264">
        <v>58444</v>
      </c>
      <c r="Q8" s="269">
        <f>O8+P8</f>
        <v>67492.015699956071</v>
      </c>
    </row>
    <row r="9" spans="1:17" x14ac:dyDescent="0.25">
      <c r="A9" s="270"/>
      <c r="B9" s="270"/>
      <c r="C9" s="270"/>
      <c r="D9" s="271"/>
      <c r="E9" s="270"/>
      <c r="F9" s="272"/>
      <c r="G9" s="272"/>
      <c r="H9" s="272"/>
      <c r="I9" s="272"/>
      <c r="J9" s="272"/>
      <c r="K9" s="273"/>
      <c r="L9" s="274"/>
      <c r="N9" s="275"/>
      <c r="O9" s="275"/>
      <c r="P9" s="275"/>
    </row>
    <row r="10" spans="1:17" x14ac:dyDescent="0.25">
      <c r="A10" s="276" t="s">
        <v>1198</v>
      </c>
      <c r="B10" s="274"/>
      <c r="C10" s="274"/>
      <c r="D10" s="274"/>
      <c r="E10" s="274"/>
      <c r="F10" s="274"/>
      <c r="G10" s="274"/>
      <c r="H10" s="274"/>
      <c r="I10" s="274"/>
      <c r="J10" s="274"/>
      <c r="K10" s="274"/>
      <c r="L10" s="274"/>
    </row>
    <row r="11" spans="1:17" x14ac:dyDescent="0.25">
      <c r="A11" s="468" t="s">
        <v>1226</v>
      </c>
      <c r="B11" s="468"/>
      <c r="C11" s="468"/>
      <c r="D11" s="468"/>
      <c r="E11" s="468"/>
      <c r="F11" s="468"/>
      <c r="G11" s="468"/>
      <c r="H11" s="468"/>
      <c r="I11" s="468"/>
      <c r="J11" s="468"/>
      <c r="K11" s="468"/>
      <c r="L11" s="468"/>
      <c r="M11" s="468"/>
      <c r="N11" s="468"/>
    </row>
    <row r="12" spans="1:17" x14ac:dyDescent="0.25">
      <c r="A12" s="468"/>
      <c r="B12" s="468"/>
      <c r="C12" s="468"/>
      <c r="D12" s="468"/>
      <c r="E12" s="468"/>
      <c r="F12" s="468"/>
      <c r="G12" s="468"/>
      <c r="H12" s="468"/>
      <c r="I12" s="468"/>
      <c r="J12" s="468"/>
      <c r="K12" s="468"/>
      <c r="L12" s="468"/>
      <c r="M12" s="468"/>
      <c r="N12" s="468"/>
    </row>
    <row r="13" spans="1:17" x14ac:dyDescent="0.25">
      <c r="A13" s="468"/>
      <c r="B13" s="468"/>
      <c r="C13" s="468"/>
      <c r="D13" s="468"/>
      <c r="E13" s="468"/>
      <c r="F13" s="468"/>
      <c r="G13" s="468"/>
      <c r="H13" s="468"/>
      <c r="I13" s="468"/>
      <c r="J13" s="468"/>
      <c r="K13" s="468"/>
      <c r="L13" s="468"/>
      <c r="M13" s="468"/>
      <c r="N13" s="468"/>
    </row>
    <row r="14" spans="1:17" x14ac:dyDescent="0.25">
      <c r="A14" s="468"/>
      <c r="B14" s="468"/>
      <c r="C14" s="468"/>
      <c r="D14" s="468"/>
      <c r="E14" s="468"/>
      <c r="F14" s="468"/>
      <c r="G14" s="468"/>
      <c r="H14" s="468"/>
      <c r="I14" s="468"/>
      <c r="J14" s="468"/>
      <c r="K14" s="468"/>
      <c r="L14" s="468"/>
      <c r="M14" s="468"/>
      <c r="N14" s="468"/>
    </row>
    <row r="15" spans="1:17" x14ac:dyDescent="0.25">
      <c r="A15" s="468"/>
      <c r="B15" s="468"/>
      <c r="C15" s="468"/>
      <c r="D15" s="468"/>
      <c r="E15" s="468"/>
      <c r="F15" s="468"/>
      <c r="G15" s="468"/>
      <c r="H15" s="468"/>
      <c r="I15" s="468"/>
      <c r="J15" s="468"/>
      <c r="K15" s="468"/>
      <c r="L15" s="468"/>
      <c r="M15" s="468"/>
      <c r="N15" s="468"/>
    </row>
    <row r="16" spans="1:17" x14ac:dyDescent="0.25">
      <c r="A16" s="277"/>
    </row>
    <row r="17" spans="1:7" x14ac:dyDescent="0.25">
      <c r="A17" s="278" t="s">
        <v>1200</v>
      </c>
      <c r="B17" s="279"/>
      <c r="C17" s="279"/>
      <c r="D17" s="279"/>
      <c r="E17" s="279"/>
      <c r="F17" s="279"/>
      <c r="G17" s="279"/>
    </row>
    <row r="18" spans="1:7" x14ac:dyDescent="0.25">
      <c r="A18" s="278" t="s">
        <v>1227</v>
      </c>
      <c r="B18" s="278"/>
      <c r="C18" s="278"/>
      <c r="D18" s="278"/>
      <c r="E18" s="278"/>
      <c r="F18" s="278"/>
      <c r="G18" s="279"/>
    </row>
  </sheetData>
  <mergeCells count="1">
    <mergeCell ref="A11:N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cols>
    <col min="1" max="1" width="139" customWidth="1"/>
  </cols>
  <sheetData>
    <row r="1" spans="1:1" ht="108" customHeight="1" x14ac:dyDescent="0.25">
      <c r="A1" s="256" t="s">
        <v>1228</v>
      </c>
    </row>
    <row r="2" spans="1:1" x14ac:dyDescent="0.25">
      <c r="A2" s="53"/>
    </row>
    <row r="3" spans="1:1" x14ac:dyDescent="0.25">
      <c r="A3" s="53"/>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K24" sqref="K24"/>
    </sheetView>
  </sheetViews>
  <sheetFormatPr defaultRowHeight="15" x14ac:dyDescent="0.25"/>
  <cols>
    <col min="1" max="1" width="5" customWidth="1"/>
    <col min="2" max="2" width="36.14062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s>
  <sheetData>
    <row r="1" spans="1:10" x14ac:dyDescent="0.25">
      <c r="A1" t="s">
        <v>420</v>
      </c>
    </row>
    <row r="2" spans="1:10" ht="15.75" thickBot="1" x14ac:dyDescent="0.3"/>
    <row r="3" spans="1:10" ht="15.75" thickBot="1" x14ac:dyDescent="0.3">
      <c r="A3" s="287" t="s">
        <v>1232</v>
      </c>
      <c r="B3" s="288" t="s">
        <v>422</v>
      </c>
      <c r="C3" s="469" t="s">
        <v>423</v>
      </c>
      <c r="D3" s="470"/>
      <c r="E3" s="470"/>
      <c r="F3" s="471"/>
      <c r="G3" s="472" t="s">
        <v>424</v>
      </c>
      <c r="H3" s="470"/>
      <c r="I3" s="470"/>
      <c r="J3" s="473"/>
    </row>
    <row r="4" spans="1:10" ht="15.75" thickBot="1" x14ac:dyDescent="0.3">
      <c r="A4" s="287"/>
      <c r="B4" s="288"/>
      <c r="C4" s="469" t="s">
        <v>425</v>
      </c>
      <c r="D4" s="471"/>
      <c r="E4" s="472" t="s">
        <v>426</v>
      </c>
      <c r="F4" s="470"/>
      <c r="G4" s="470"/>
      <c r="H4" s="471"/>
      <c r="I4" s="472" t="s">
        <v>427</v>
      </c>
      <c r="J4" s="473"/>
    </row>
    <row r="5" spans="1:10" ht="15.75" thickBot="1" x14ac:dyDescent="0.3">
      <c r="A5" s="289"/>
      <c r="B5" s="290"/>
      <c r="C5" s="289" t="s">
        <v>1233</v>
      </c>
      <c r="D5" s="289" t="s">
        <v>429</v>
      </c>
      <c r="E5" s="289" t="s">
        <v>1233</v>
      </c>
      <c r="F5" s="289" t="s">
        <v>429</v>
      </c>
      <c r="G5" s="289" t="s">
        <v>1233</v>
      </c>
      <c r="H5" s="289" t="s">
        <v>429</v>
      </c>
      <c r="I5" s="289" t="s">
        <v>1233</v>
      </c>
      <c r="J5" s="290" t="s">
        <v>429</v>
      </c>
    </row>
    <row r="6" spans="1:10" ht="15.75" thickBot="1" x14ac:dyDescent="0.3">
      <c r="A6" s="291" t="s">
        <v>238</v>
      </c>
      <c r="B6" s="292" t="s">
        <v>430</v>
      </c>
      <c r="C6" s="293"/>
      <c r="D6" s="293"/>
      <c r="E6" s="293">
        <v>8</v>
      </c>
      <c r="F6" s="294">
        <v>20163</v>
      </c>
      <c r="G6" s="293">
        <v>15</v>
      </c>
      <c r="H6" s="294">
        <v>23967</v>
      </c>
      <c r="I6" s="293">
        <v>16</v>
      </c>
      <c r="J6" s="294">
        <v>33346</v>
      </c>
    </row>
    <row r="7" spans="1:10" ht="15.75" thickBot="1" x14ac:dyDescent="0.3">
      <c r="A7" s="291" t="s">
        <v>238</v>
      </c>
      <c r="B7" s="292" t="s">
        <v>431</v>
      </c>
      <c r="C7" s="295"/>
      <c r="D7" s="295"/>
      <c r="E7" s="295">
        <v>68</v>
      </c>
      <c r="F7" s="296">
        <v>80268</v>
      </c>
      <c r="G7" s="295">
        <v>74</v>
      </c>
      <c r="H7" s="296">
        <v>15614</v>
      </c>
      <c r="I7" s="295">
        <v>76</v>
      </c>
      <c r="J7" s="296">
        <v>58551</v>
      </c>
    </row>
    <row r="8" spans="1:10" ht="15.75" thickBot="1" x14ac:dyDescent="0.3">
      <c r="A8" s="291" t="s">
        <v>238</v>
      </c>
      <c r="B8" s="292" t="s">
        <v>1234</v>
      </c>
      <c r="C8" s="293"/>
      <c r="D8" s="293"/>
      <c r="E8" s="293">
        <v>6</v>
      </c>
      <c r="F8" s="294">
        <v>18686</v>
      </c>
      <c r="G8" s="293">
        <v>7</v>
      </c>
      <c r="H8" s="294">
        <v>13661</v>
      </c>
      <c r="I8" s="293">
        <v>3</v>
      </c>
      <c r="J8" s="294">
        <v>9670</v>
      </c>
    </row>
    <row r="9" spans="1:10" ht="15.75" thickBot="1" x14ac:dyDescent="0.3">
      <c r="A9" s="291" t="s">
        <v>238</v>
      </c>
      <c r="B9" s="292" t="s">
        <v>1235</v>
      </c>
      <c r="C9" s="295"/>
      <c r="D9" s="295"/>
      <c r="E9" s="295">
        <v>107</v>
      </c>
      <c r="F9" s="296">
        <v>31277</v>
      </c>
      <c r="G9" s="295">
        <v>103</v>
      </c>
      <c r="H9" s="296">
        <v>27808</v>
      </c>
      <c r="I9" s="295">
        <v>109</v>
      </c>
      <c r="J9" s="296">
        <v>31069</v>
      </c>
    </row>
    <row r="10" spans="1:10" ht="15.75" thickBot="1" x14ac:dyDescent="0.3">
      <c r="A10" s="291" t="s">
        <v>238</v>
      </c>
      <c r="B10" s="292" t="s">
        <v>1236</v>
      </c>
      <c r="C10" s="293"/>
      <c r="D10" s="293"/>
      <c r="E10" s="293"/>
      <c r="F10" s="293"/>
      <c r="G10" s="293">
        <v>1</v>
      </c>
      <c r="H10" s="294">
        <v>9180</v>
      </c>
      <c r="I10" s="293"/>
      <c r="J10" s="293"/>
    </row>
    <row r="11" spans="1:10" ht="15.75" thickBot="1" x14ac:dyDescent="0.3">
      <c r="A11" s="291" t="s">
        <v>238</v>
      </c>
      <c r="B11" s="292" t="s">
        <v>1237</v>
      </c>
      <c r="C11" s="295"/>
      <c r="D11" s="295"/>
      <c r="E11" s="295"/>
      <c r="F11" s="295"/>
      <c r="G11" s="295"/>
      <c r="H11" s="295"/>
      <c r="I11" s="295">
        <v>1</v>
      </c>
      <c r="J11" s="296">
        <v>8861</v>
      </c>
    </row>
    <row r="12" spans="1:10" ht="15.75" thickBot="1" x14ac:dyDescent="0.3">
      <c r="A12" s="291" t="s">
        <v>238</v>
      </c>
      <c r="B12" s="292" t="s">
        <v>1238</v>
      </c>
      <c r="C12" s="295"/>
      <c r="D12" s="295"/>
      <c r="E12" s="295"/>
      <c r="F12" s="295"/>
      <c r="G12" s="295">
        <v>1</v>
      </c>
      <c r="H12" s="296">
        <v>7306</v>
      </c>
      <c r="I12" s="295">
        <v>2</v>
      </c>
      <c r="J12" s="296">
        <v>35497</v>
      </c>
    </row>
    <row r="13" spans="1:10" ht="15.75" thickBot="1" x14ac:dyDescent="0.3">
      <c r="A13" s="291" t="s">
        <v>238</v>
      </c>
      <c r="B13" s="292" t="s">
        <v>1239</v>
      </c>
      <c r="C13" s="293"/>
      <c r="D13" s="293"/>
      <c r="E13" s="293">
        <v>5</v>
      </c>
      <c r="F13" s="294">
        <v>17134</v>
      </c>
      <c r="G13" s="293">
        <v>8</v>
      </c>
      <c r="H13" s="294">
        <v>52672</v>
      </c>
      <c r="I13" s="293">
        <v>2</v>
      </c>
      <c r="J13" s="294">
        <v>41007</v>
      </c>
    </row>
    <row r="14" spans="1:10" ht="15.75" thickBot="1" x14ac:dyDescent="0.3">
      <c r="A14" s="291" t="s">
        <v>238</v>
      </c>
      <c r="B14" s="292" t="s">
        <v>1240</v>
      </c>
      <c r="C14" s="295"/>
      <c r="D14" s="295"/>
      <c r="E14" s="295">
        <v>23</v>
      </c>
      <c r="F14" s="296">
        <v>29108</v>
      </c>
      <c r="G14" s="295">
        <v>26</v>
      </c>
      <c r="H14" s="296">
        <v>27918</v>
      </c>
      <c r="I14" s="295">
        <v>23</v>
      </c>
      <c r="J14" s="296">
        <v>30318</v>
      </c>
    </row>
    <row r="15" spans="1:10" ht="15.75" thickBot="1" x14ac:dyDescent="0.3">
      <c r="A15" s="291" t="s">
        <v>238</v>
      </c>
      <c r="B15" s="292" t="s">
        <v>1241</v>
      </c>
      <c r="C15" s="293"/>
      <c r="D15" s="293"/>
      <c r="E15" s="293"/>
      <c r="F15" s="293"/>
      <c r="G15" s="293">
        <v>1</v>
      </c>
      <c r="H15" s="294">
        <v>24454</v>
      </c>
      <c r="I15" s="293">
        <v>1</v>
      </c>
      <c r="J15" s="294">
        <v>39825</v>
      </c>
    </row>
    <row r="16" spans="1:10" ht="15.75" thickBot="1" x14ac:dyDescent="0.3">
      <c r="A16" s="291" t="s">
        <v>238</v>
      </c>
      <c r="B16" s="292" t="s">
        <v>433</v>
      </c>
      <c r="C16" s="295"/>
      <c r="D16" s="295"/>
      <c r="E16" s="295">
        <v>19</v>
      </c>
      <c r="F16" s="296">
        <v>22847</v>
      </c>
      <c r="G16" s="295">
        <v>14</v>
      </c>
      <c r="H16" s="296">
        <v>60770</v>
      </c>
      <c r="I16" s="295">
        <v>17</v>
      </c>
      <c r="J16" s="296">
        <v>48936</v>
      </c>
    </row>
    <row r="17" spans="1:10" ht="15.75" thickBot="1" x14ac:dyDescent="0.3">
      <c r="A17" s="291" t="s">
        <v>238</v>
      </c>
      <c r="B17" s="292" t="s">
        <v>435</v>
      </c>
      <c r="C17" s="293"/>
      <c r="D17" s="293"/>
      <c r="E17" s="293">
        <v>6</v>
      </c>
      <c r="F17" s="294">
        <v>28658</v>
      </c>
      <c r="G17" s="293">
        <v>4</v>
      </c>
      <c r="H17" s="294">
        <v>20546</v>
      </c>
      <c r="I17" s="293"/>
      <c r="J17" s="293"/>
    </row>
    <row r="18" spans="1:10" ht="15.75" thickBot="1" x14ac:dyDescent="0.3">
      <c r="A18" s="291" t="s">
        <v>238</v>
      </c>
      <c r="B18" s="292" t="s">
        <v>436</v>
      </c>
      <c r="C18" s="295"/>
      <c r="D18" s="295"/>
      <c r="E18" s="295"/>
      <c r="F18" s="295"/>
      <c r="G18" s="295">
        <v>1</v>
      </c>
      <c r="H18" s="296">
        <v>29020</v>
      </c>
      <c r="I18" s="295"/>
      <c r="J18" s="295"/>
    </row>
    <row r="19" spans="1:10" ht="15.75" thickBot="1" x14ac:dyDescent="0.3">
      <c r="A19" s="291" t="s">
        <v>238</v>
      </c>
      <c r="B19" s="292" t="s">
        <v>1242</v>
      </c>
      <c r="C19" s="293"/>
      <c r="D19" s="293"/>
      <c r="E19" s="293">
        <v>1</v>
      </c>
      <c r="F19" s="294">
        <v>13795</v>
      </c>
      <c r="G19" s="293"/>
      <c r="H19" s="293"/>
      <c r="I19" s="293">
        <v>1</v>
      </c>
      <c r="J19" s="294">
        <v>30936</v>
      </c>
    </row>
    <row r="20" spans="1:10" ht="15.75" thickBot="1" x14ac:dyDescent="0.3">
      <c r="A20" s="291" t="s">
        <v>238</v>
      </c>
      <c r="B20" s="292" t="s">
        <v>176</v>
      </c>
      <c r="C20" s="293"/>
      <c r="D20" s="293"/>
      <c r="E20" s="293"/>
      <c r="F20" s="293"/>
      <c r="G20" s="293">
        <v>18</v>
      </c>
      <c r="H20" s="294">
        <v>34490</v>
      </c>
      <c r="I20" s="293">
        <v>24</v>
      </c>
      <c r="J20" s="294">
        <v>60123</v>
      </c>
    </row>
    <row r="21" spans="1:10" ht="15.75" thickBot="1" x14ac:dyDescent="0.3">
      <c r="A21" s="291" t="s">
        <v>238</v>
      </c>
      <c r="B21" s="292" t="s">
        <v>1243</v>
      </c>
      <c r="C21" s="295"/>
      <c r="D21" s="295"/>
      <c r="E21" s="295"/>
      <c r="F21" s="295"/>
      <c r="G21" s="295"/>
      <c r="H21" s="295"/>
      <c r="I21" s="295">
        <v>1</v>
      </c>
      <c r="J21" s="296">
        <v>14957</v>
      </c>
    </row>
    <row r="22" spans="1:10" ht="15.75" thickBot="1" x14ac:dyDescent="0.3">
      <c r="A22" s="291" t="s">
        <v>238</v>
      </c>
      <c r="B22" s="292" t="s">
        <v>441</v>
      </c>
      <c r="C22" s="293"/>
      <c r="D22" s="293"/>
      <c r="E22" s="293">
        <v>6</v>
      </c>
      <c r="F22" s="294">
        <v>29626</v>
      </c>
      <c r="G22" s="293">
        <v>2</v>
      </c>
      <c r="H22" s="294">
        <v>26165</v>
      </c>
      <c r="I22" s="293">
        <v>2</v>
      </c>
      <c r="J22" s="294">
        <v>7219</v>
      </c>
    </row>
    <row r="23" spans="1:10" ht="15.75" thickBot="1" x14ac:dyDescent="0.3">
      <c r="A23" s="291" t="s">
        <v>238</v>
      </c>
      <c r="B23" s="292" t="s">
        <v>1244</v>
      </c>
      <c r="C23" s="293"/>
      <c r="D23" s="293"/>
      <c r="E23" s="293"/>
      <c r="F23" s="293"/>
      <c r="G23" s="293">
        <v>4</v>
      </c>
      <c r="H23" s="294">
        <v>68296</v>
      </c>
      <c r="I23" s="293"/>
      <c r="J23" s="293"/>
    </row>
    <row r="24" spans="1:10" ht="15.75" thickBot="1" x14ac:dyDescent="0.3">
      <c r="A24" s="291" t="s">
        <v>238</v>
      </c>
      <c r="B24" s="292" t="s">
        <v>1245</v>
      </c>
      <c r="C24" s="295"/>
      <c r="D24" s="295"/>
      <c r="E24" s="295">
        <v>2</v>
      </c>
      <c r="F24" s="296">
        <v>25284</v>
      </c>
      <c r="G24" s="295">
        <v>1</v>
      </c>
      <c r="H24" s="296">
        <v>8544</v>
      </c>
      <c r="I24" s="295"/>
      <c r="J24" s="295"/>
    </row>
    <row r="25" spans="1:10" ht="15.75" thickBot="1" x14ac:dyDescent="0.3">
      <c r="A25" s="291" t="s">
        <v>238</v>
      </c>
      <c r="B25" s="292" t="s">
        <v>443</v>
      </c>
      <c r="C25" s="293"/>
      <c r="D25" s="293"/>
      <c r="E25" s="293"/>
      <c r="F25" s="293"/>
      <c r="G25" s="293"/>
      <c r="H25" s="293"/>
      <c r="I25" s="293">
        <v>1</v>
      </c>
      <c r="J25" s="294">
        <v>2544</v>
      </c>
    </row>
    <row r="26" spans="1:10" ht="15.75" thickBot="1" x14ac:dyDescent="0.3">
      <c r="A26" s="291" t="s">
        <v>238</v>
      </c>
      <c r="B26" s="292" t="s">
        <v>1246</v>
      </c>
      <c r="C26" s="295"/>
      <c r="D26" s="295"/>
      <c r="E26" s="295">
        <v>9</v>
      </c>
      <c r="F26" s="296">
        <v>96072</v>
      </c>
      <c r="G26" s="295">
        <v>5</v>
      </c>
      <c r="H26" s="296">
        <v>26250</v>
      </c>
      <c r="I26" s="295">
        <v>7</v>
      </c>
      <c r="J26" s="296">
        <v>33616</v>
      </c>
    </row>
    <row r="27" spans="1:10" ht="15.75" thickBot="1" x14ac:dyDescent="0.3">
      <c r="A27" s="291" t="s">
        <v>238</v>
      </c>
      <c r="B27" s="292" t="s">
        <v>1247</v>
      </c>
      <c r="C27" s="293"/>
      <c r="D27" s="293"/>
      <c r="E27" s="293"/>
      <c r="F27" s="293"/>
      <c r="G27" s="293"/>
      <c r="H27" s="293"/>
      <c r="I27" s="293">
        <v>1</v>
      </c>
      <c r="J27" s="294">
        <v>30523</v>
      </c>
    </row>
    <row r="28" spans="1:10" ht="15.75" thickBot="1" x14ac:dyDescent="0.3">
      <c r="A28" s="297" t="s">
        <v>238</v>
      </c>
      <c r="B28" s="295" t="s">
        <v>125</v>
      </c>
      <c r="C28" s="295"/>
      <c r="D28" s="295"/>
      <c r="E28" s="295">
        <v>284</v>
      </c>
      <c r="F28" s="296">
        <v>41954</v>
      </c>
      <c r="G28" s="295">
        <v>285</v>
      </c>
      <c r="H28" s="296">
        <v>27057</v>
      </c>
      <c r="I28" s="295">
        <v>287</v>
      </c>
      <c r="J28" s="296">
        <v>41469</v>
      </c>
    </row>
  </sheetData>
  <mergeCells count="5">
    <mergeCell ref="C3:F3"/>
    <mergeCell ref="G3:J3"/>
    <mergeCell ref="C4:D4"/>
    <mergeCell ref="E4:H4"/>
    <mergeCell ref="I4:J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RowHeight="15" x14ac:dyDescent="0.25"/>
  <cols>
    <col min="1" max="1" width="5" customWidth="1"/>
    <col min="2" max="2" width="36.14062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s>
  <sheetData>
    <row r="1" spans="1:10" x14ac:dyDescent="0.25">
      <c r="A1" t="s">
        <v>420</v>
      </c>
    </row>
    <row r="3" spans="1:10" ht="15.75" thickBot="1" x14ac:dyDescent="0.3"/>
    <row r="4" spans="1:10" ht="15.75" thickBot="1" x14ac:dyDescent="0.3">
      <c r="A4" s="287" t="s">
        <v>1232</v>
      </c>
      <c r="B4" s="288" t="s">
        <v>422</v>
      </c>
      <c r="C4" s="469" t="s">
        <v>423</v>
      </c>
      <c r="D4" s="470"/>
      <c r="E4" s="470"/>
      <c r="F4" s="471"/>
      <c r="G4" s="472" t="s">
        <v>424</v>
      </c>
      <c r="H4" s="470"/>
      <c r="I4" s="470"/>
      <c r="J4" s="473"/>
    </row>
    <row r="5" spans="1:10" ht="15.75" thickBot="1" x14ac:dyDescent="0.3">
      <c r="A5" s="287"/>
      <c r="B5" s="288"/>
      <c r="C5" s="469" t="s">
        <v>425</v>
      </c>
      <c r="D5" s="471"/>
      <c r="E5" s="472" t="s">
        <v>426</v>
      </c>
      <c r="F5" s="470"/>
      <c r="G5" s="470"/>
      <c r="H5" s="471"/>
      <c r="I5" s="472" t="s">
        <v>427</v>
      </c>
      <c r="J5" s="473"/>
    </row>
    <row r="6" spans="1:10" ht="15.75" thickBot="1" x14ac:dyDescent="0.3">
      <c r="A6" s="289"/>
      <c r="B6" s="290"/>
      <c r="C6" s="289" t="s">
        <v>1233</v>
      </c>
      <c r="D6" s="289" t="s">
        <v>429</v>
      </c>
      <c r="E6" s="289" t="s">
        <v>1233</v>
      </c>
      <c r="F6" s="289" t="s">
        <v>429</v>
      </c>
      <c r="G6" s="289" t="s">
        <v>1233</v>
      </c>
      <c r="H6" s="289" t="s">
        <v>429</v>
      </c>
      <c r="I6" s="289" t="s">
        <v>1233</v>
      </c>
      <c r="J6" s="290" t="s">
        <v>429</v>
      </c>
    </row>
    <row r="7" spans="1:10" ht="15.75" thickBot="1" x14ac:dyDescent="0.3">
      <c r="A7" s="291" t="s">
        <v>241</v>
      </c>
      <c r="B7" s="292" t="s">
        <v>430</v>
      </c>
      <c r="C7" s="293"/>
      <c r="D7" s="293"/>
      <c r="E7" s="293">
        <v>1</v>
      </c>
      <c r="F7" s="294">
        <v>12376</v>
      </c>
      <c r="G7" s="293">
        <v>7</v>
      </c>
      <c r="H7" s="294">
        <v>41305</v>
      </c>
      <c r="I7" s="293">
        <v>8</v>
      </c>
      <c r="J7" s="294">
        <v>34562</v>
      </c>
    </row>
    <row r="8" spans="1:10" ht="15.75" thickBot="1" x14ac:dyDescent="0.3">
      <c r="A8" s="291" t="s">
        <v>241</v>
      </c>
      <c r="B8" s="292" t="s">
        <v>431</v>
      </c>
      <c r="C8" s="295"/>
      <c r="D8" s="295"/>
      <c r="E8" s="295">
        <v>66</v>
      </c>
      <c r="F8" s="296">
        <v>59155</v>
      </c>
      <c r="G8" s="295">
        <v>43</v>
      </c>
      <c r="H8" s="296">
        <v>8169</v>
      </c>
      <c r="I8" s="295">
        <v>59</v>
      </c>
      <c r="J8" s="296">
        <v>37969</v>
      </c>
    </row>
    <row r="9" spans="1:10" ht="15.75" thickBot="1" x14ac:dyDescent="0.3">
      <c r="A9" s="291" t="s">
        <v>241</v>
      </c>
      <c r="B9" s="292" t="s">
        <v>1234</v>
      </c>
      <c r="C9" s="293"/>
      <c r="D9" s="293"/>
      <c r="E9" s="293">
        <v>2</v>
      </c>
      <c r="F9" s="294">
        <v>4450</v>
      </c>
      <c r="G9" s="293">
        <v>3</v>
      </c>
      <c r="H9" s="294">
        <v>9521</v>
      </c>
      <c r="I9" s="293">
        <v>2</v>
      </c>
      <c r="J9" s="294">
        <v>6848</v>
      </c>
    </row>
    <row r="10" spans="1:10" ht="15.75" thickBot="1" x14ac:dyDescent="0.3">
      <c r="A10" s="291" t="s">
        <v>241</v>
      </c>
      <c r="B10" s="292" t="s">
        <v>1235</v>
      </c>
      <c r="C10" s="295"/>
      <c r="D10" s="295"/>
      <c r="E10" s="295">
        <v>56</v>
      </c>
      <c r="F10" s="296">
        <v>23755</v>
      </c>
      <c r="G10" s="295">
        <v>59</v>
      </c>
      <c r="H10" s="296">
        <v>23540</v>
      </c>
      <c r="I10" s="295">
        <v>60</v>
      </c>
      <c r="J10" s="296">
        <v>21791</v>
      </c>
    </row>
    <row r="11" spans="1:10" ht="15.75" thickBot="1" x14ac:dyDescent="0.3">
      <c r="A11" s="291" t="s">
        <v>241</v>
      </c>
      <c r="B11" s="292" t="s">
        <v>432</v>
      </c>
      <c r="C11" s="295"/>
      <c r="D11" s="295"/>
      <c r="E11" s="295"/>
      <c r="F11" s="295"/>
      <c r="G11" s="295">
        <v>1</v>
      </c>
      <c r="H11" s="296">
        <v>17491</v>
      </c>
      <c r="I11" s="295"/>
      <c r="J11" s="295"/>
    </row>
    <row r="12" spans="1:10" ht="15.75" thickBot="1" x14ac:dyDescent="0.3">
      <c r="A12" s="291" t="s">
        <v>241</v>
      </c>
      <c r="B12" s="292" t="s">
        <v>1239</v>
      </c>
      <c r="C12" s="295"/>
      <c r="D12" s="295"/>
      <c r="E12" s="295">
        <v>3</v>
      </c>
      <c r="F12" s="296">
        <v>39170</v>
      </c>
      <c r="G12" s="295">
        <v>4</v>
      </c>
      <c r="H12" s="296">
        <v>14778</v>
      </c>
      <c r="I12" s="295">
        <v>1</v>
      </c>
      <c r="J12" s="296">
        <v>2341</v>
      </c>
    </row>
    <row r="13" spans="1:10" ht="15.75" thickBot="1" x14ac:dyDescent="0.3">
      <c r="A13" s="291" t="s">
        <v>241</v>
      </c>
      <c r="B13" s="292" t="s">
        <v>1240</v>
      </c>
      <c r="C13" s="293"/>
      <c r="D13" s="293"/>
      <c r="E13" s="293">
        <v>9</v>
      </c>
      <c r="F13" s="294">
        <v>20366</v>
      </c>
      <c r="G13" s="293">
        <v>9</v>
      </c>
      <c r="H13" s="294">
        <v>33149</v>
      </c>
      <c r="I13" s="293">
        <v>6</v>
      </c>
      <c r="J13" s="294">
        <v>38963</v>
      </c>
    </row>
    <row r="14" spans="1:10" ht="15.75" thickBot="1" x14ac:dyDescent="0.3">
      <c r="A14" s="291" t="s">
        <v>241</v>
      </c>
      <c r="B14" s="292" t="s">
        <v>433</v>
      </c>
      <c r="C14" s="295"/>
      <c r="D14" s="295"/>
      <c r="E14" s="295">
        <v>10</v>
      </c>
      <c r="F14" s="296">
        <v>68644</v>
      </c>
      <c r="G14" s="295">
        <v>4</v>
      </c>
      <c r="H14" s="296">
        <v>31597</v>
      </c>
      <c r="I14" s="295">
        <v>3</v>
      </c>
      <c r="J14" s="296">
        <v>24336</v>
      </c>
    </row>
    <row r="15" spans="1:10" ht="15.75" thickBot="1" x14ac:dyDescent="0.3">
      <c r="A15" s="291" t="s">
        <v>241</v>
      </c>
      <c r="B15" s="292" t="s">
        <v>435</v>
      </c>
      <c r="C15" s="295"/>
      <c r="D15" s="295"/>
      <c r="E15" s="295">
        <v>6</v>
      </c>
      <c r="F15" s="296">
        <v>19450</v>
      </c>
      <c r="G15" s="295"/>
      <c r="H15" s="295"/>
      <c r="I15" s="295">
        <v>1</v>
      </c>
      <c r="J15" s="296">
        <v>83408</v>
      </c>
    </row>
    <row r="16" spans="1:10" ht="15.75" thickBot="1" x14ac:dyDescent="0.3">
      <c r="A16" s="291" t="s">
        <v>241</v>
      </c>
      <c r="B16" s="292" t="s">
        <v>1242</v>
      </c>
      <c r="C16" s="293"/>
      <c r="D16" s="293"/>
      <c r="E16" s="293"/>
      <c r="F16" s="293"/>
      <c r="G16" s="293"/>
      <c r="H16" s="293"/>
      <c r="I16" s="293">
        <v>1</v>
      </c>
      <c r="J16" s="294">
        <v>73683</v>
      </c>
    </row>
    <row r="17" spans="1:10" ht="15.75" thickBot="1" x14ac:dyDescent="0.3">
      <c r="A17" s="291" t="s">
        <v>241</v>
      </c>
      <c r="B17" s="292" t="s">
        <v>176</v>
      </c>
      <c r="C17" s="293"/>
      <c r="D17" s="293"/>
      <c r="E17" s="293"/>
      <c r="F17" s="293"/>
      <c r="G17" s="293">
        <v>16</v>
      </c>
      <c r="H17" s="294">
        <v>27662</v>
      </c>
      <c r="I17" s="293">
        <v>20</v>
      </c>
      <c r="J17" s="294">
        <v>23266</v>
      </c>
    </row>
    <row r="18" spans="1:10" ht="15.75" thickBot="1" x14ac:dyDescent="0.3">
      <c r="A18" s="291" t="s">
        <v>241</v>
      </c>
      <c r="B18" s="292" t="s">
        <v>441</v>
      </c>
      <c r="C18" s="295"/>
      <c r="D18" s="295"/>
      <c r="E18" s="295">
        <v>3</v>
      </c>
      <c r="F18" s="296">
        <v>9722</v>
      </c>
      <c r="G18" s="295">
        <v>1</v>
      </c>
      <c r="H18" s="296">
        <v>21139</v>
      </c>
      <c r="I18" s="295">
        <v>1</v>
      </c>
      <c r="J18" s="296">
        <v>10800</v>
      </c>
    </row>
    <row r="19" spans="1:10" ht="15.75" thickBot="1" x14ac:dyDescent="0.3">
      <c r="A19" s="291" t="s">
        <v>241</v>
      </c>
      <c r="B19" s="292" t="s">
        <v>1244</v>
      </c>
      <c r="C19" s="295"/>
      <c r="D19" s="295"/>
      <c r="E19" s="295"/>
      <c r="F19" s="295"/>
      <c r="G19" s="295">
        <v>7</v>
      </c>
      <c r="H19" s="296">
        <v>26893</v>
      </c>
      <c r="I19" s="295"/>
      <c r="J19" s="295"/>
    </row>
    <row r="20" spans="1:10" ht="15.75" thickBot="1" x14ac:dyDescent="0.3">
      <c r="A20" s="291" t="s">
        <v>241</v>
      </c>
      <c r="B20" s="292" t="s">
        <v>1246</v>
      </c>
      <c r="C20" s="295"/>
      <c r="D20" s="295"/>
      <c r="E20" s="295">
        <v>11</v>
      </c>
      <c r="F20" s="296">
        <v>29876</v>
      </c>
      <c r="G20" s="295">
        <v>7</v>
      </c>
      <c r="H20" s="296">
        <v>16603</v>
      </c>
      <c r="I20" s="295">
        <v>9</v>
      </c>
      <c r="J20" s="296">
        <v>35143</v>
      </c>
    </row>
    <row r="21" spans="1:10" ht="15.75" thickBot="1" x14ac:dyDescent="0.3">
      <c r="A21" s="291" t="s">
        <v>241</v>
      </c>
      <c r="B21" s="292" t="s">
        <v>1248</v>
      </c>
      <c r="C21" s="293"/>
      <c r="D21" s="293"/>
      <c r="E21" s="293"/>
      <c r="F21" s="293"/>
      <c r="G21" s="293"/>
      <c r="H21" s="293"/>
      <c r="I21" s="293">
        <v>1</v>
      </c>
      <c r="J21" s="294">
        <v>19587</v>
      </c>
    </row>
    <row r="22" spans="1:10" ht="15.75" thickBot="1" x14ac:dyDescent="0.3">
      <c r="A22" s="291" t="s">
        <v>241</v>
      </c>
      <c r="B22" s="292" t="s">
        <v>1249</v>
      </c>
      <c r="C22" s="295"/>
      <c r="D22" s="295"/>
      <c r="E22" s="295"/>
      <c r="F22" s="295"/>
      <c r="G22" s="295">
        <v>1</v>
      </c>
      <c r="H22" s="296">
        <v>3355</v>
      </c>
      <c r="I22" s="295"/>
      <c r="J22" s="295"/>
    </row>
    <row r="23" spans="1:10" ht="15.75" thickBot="1" x14ac:dyDescent="0.3">
      <c r="A23" s="297" t="s">
        <v>241</v>
      </c>
      <c r="B23" s="295" t="s">
        <v>125</v>
      </c>
      <c r="C23" s="293"/>
      <c r="D23" s="293"/>
      <c r="E23" s="293">
        <v>183</v>
      </c>
      <c r="F23" s="294">
        <v>38557</v>
      </c>
      <c r="G23" s="293">
        <v>162</v>
      </c>
      <c r="H23" s="294">
        <v>20560</v>
      </c>
      <c r="I23" s="293">
        <v>173</v>
      </c>
      <c r="J23" s="294">
        <v>29634</v>
      </c>
    </row>
  </sheetData>
  <mergeCells count="5">
    <mergeCell ref="C4:F4"/>
    <mergeCell ref="G4:J4"/>
    <mergeCell ref="C5:D5"/>
    <mergeCell ref="E5:H5"/>
    <mergeCell ref="I5:J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heetViews>
  <sheetFormatPr defaultRowHeight="15" x14ac:dyDescent="0.25"/>
  <cols>
    <col min="1" max="1" width="5" customWidth="1"/>
    <col min="2" max="2" width="36.570312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 min="11" max="11" width="41.85546875" customWidth="1"/>
    <col min="12" max="12" width="13.7109375" style="298" bestFit="1" customWidth="1"/>
    <col min="13" max="13" width="14.7109375" style="298" bestFit="1" customWidth="1"/>
  </cols>
  <sheetData>
    <row r="1" spans="1:13" x14ac:dyDescent="0.25">
      <c r="A1" t="s">
        <v>420</v>
      </c>
    </row>
    <row r="2" spans="1:13" ht="15.75" thickBot="1" x14ac:dyDescent="0.3"/>
    <row r="3" spans="1:13" ht="15.75" thickBot="1" x14ac:dyDescent="0.3">
      <c r="A3" s="287" t="s">
        <v>1232</v>
      </c>
      <c r="B3" s="288" t="s">
        <v>422</v>
      </c>
      <c r="C3" s="469" t="s">
        <v>423</v>
      </c>
      <c r="D3" s="470"/>
      <c r="E3" s="470"/>
      <c r="F3" s="471"/>
      <c r="G3" s="472" t="s">
        <v>424</v>
      </c>
      <c r="H3" s="470"/>
      <c r="I3" s="470"/>
      <c r="J3" s="473"/>
      <c r="K3" s="299"/>
    </row>
    <row r="4" spans="1:13" ht="15.75" thickBot="1" x14ac:dyDescent="0.3">
      <c r="A4" s="287"/>
      <c r="B4" s="288"/>
      <c r="C4" s="469" t="s">
        <v>425</v>
      </c>
      <c r="D4" s="471"/>
      <c r="E4" s="472" t="s">
        <v>426</v>
      </c>
      <c r="F4" s="470"/>
      <c r="G4" s="470"/>
      <c r="H4" s="471"/>
      <c r="I4" s="472" t="s">
        <v>427</v>
      </c>
      <c r="J4" s="473"/>
      <c r="K4" s="299"/>
    </row>
    <row r="5" spans="1:13" ht="15.75" thickBot="1" x14ac:dyDescent="0.3">
      <c r="A5" s="289"/>
      <c r="B5" s="290"/>
      <c r="C5" s="289" t="s">
        <v>1233</v>
      </c>
      <c r="D5" s="289" t="s">
        <v>429</v>
      </c>
      <c r="E5" s="289" t="s">
        <v>1233</v>
      </c>
      <c r="F5" s="289" t="s">
        <v>429</v>
      </c>
      <c r="G5" s="289" t="s">
        <v>1233</v>
      </c>
      <c r="H5" s="289" t="s">
        <v>429</v>
      </c>
      <c r="I5" s="289" t="s">
        <v>1233</v>
      </c>
      <c r="J5" s="290" t="s">
        <v>429</v>
      </c>
      <c r="K5" s="299"/>
      <c r="L5" s="298" t="s">
        <v>1250</v>
      </c>
      <c r="M5" s="298" t="s">
        <v>1251</v>
      </c>
    </row>
    <row r="6" spans="1:13" ht="15.75" thickBot="1" x14ac:dyDescent="0.3">
      <c r="A6" s="291" t="s">
        <v>244</v>
      </c>
      <c r="B6" s="292" t="s">
        <v>1235</v>
      </c>
      <c r="C6" s="293"/>
      <c r="D6" s="293"/>
      <c r="E6" s="293">
        <v>43</v>
      </c>
      <c r="F6" s="294">
        <v>140421</v>
      </c>
      <c r="G6" s="293">
        <v>43</v>
      </c>
      <c r="H6" s="294">
        <v>143241</v>
      </c>
      <c r="I6" s="293">
        <v>50</v>
      </c>
      <c r="J6" s="294">
        <v>171623</v>
      </c>
      <c r="K6" s="300"/>
      <c r="L6" s="298">
        <f>G6*H6</f>
        <v>6159363</v>
      </c>
      <c r="M6" s="298">
        <f>H6*I6</f>
        <v>7162050</v>
      </c>
    </row>
    <row r="7" spans="1:13" ht="15.75" thickBot="1" x14ac:dyDescent="0.3">
      <c r="A7" s="291" t="s">
        <v>244</v>
      </c>
      <c r="B7" s="292" t="s">
        <v>433</v>
      </c>
      <c r="C7" s="295"/>
      <c r="D7" s="295"/>
      <c r="E7" s="295">
        <v>41</v>
      </c>
      <c r="F7" s="296">
        <v>121029</v>
      </c>
      <c r="G7" s="295"/>
      <c r="H7" s="295"/>
      <c r="I7" s="295"/>
      <c r="J7" s="295"/>
      <c r="K7" s="301"/>
    </row>
    <row r="8" spans="1:13" ht="15.75" thickBot="1" x14ac:dyDescent="0.3">
      <c r="A8" s="291" t="s">
        <v>244</v>
      </c>
      <c r="B8" s="292" t="s">
        <v>434</v>
      </c>
      <c r="C8" s="293"/>
      <c r="D8" s="293"/>
      <c r="E8" s="293">
        <v>5</v>
      </c>
      <c r="F8" s="294">
        <v>14317</v>
      </c>
      <c r="G8" s="293"/>
      <c r="H8" s="293"/>
      <c r="I8" s="293"/>
      <c r="J8" s="293"/>
      <c r="K8" s="301"/>
    </row>
    <row r="9" spans="1:13" ht="15.75" thickBot="1" x14ac:dyDescent="0.3">
      <c r="A9" s="291" t="s">
        <v>244</v>
      </c>
      <c r="B9" s="292" t="s">
        <v>435</v>
      </c>
      <c r="C9" s="295"/>
      <c r="D9" s="295"/>
      <c r="E9" s="295">
        <v>18</v>
      </c>
      <c r="F9" s="296">
        <v>27976</v>
      </c>
      <c r="G9" s="295"/>
      <c r="H9" s="295"/>
      <c r="I9" s="295"/>
      <c r="J9" s="295"/>
      <c r="K9" s="301"/>
    </row>
    <row r="10" spans="1:13" ht="15.75" thickBot="1" x14ac:dyDescent="0.3">
      <c r="A10" s="291" t="s">
        <v>244</v>
      </c>
      <c r="B10" s="292" t="s">
        <v>437</v>
      </c>
      <c r="C10" s="293"/>
      <c r="D10" s="293"/>
      <c r="E10" s="293">
        <v>14</v>
      </c>
      <c r="F10" s="294">
        <v>24955</v>
      </c>
      <c r="G10" s="293"/>
      <c r="H10" s="293"/>
      <c r="I10" s="293"/>
      <c r="J10" s="293"/>
      <c r="K10" s="301"/>
    </row>
    <row r="11" spans="1:13" ht="15.75" thickBot="1" x14ac:dyDescent="0.3">
      <c r="A11" s="291" t="s">
        <v>244</v>
      </c>
      <c r="B11" s="292" t="s">
        <v>438</v>
      </c>
      <c r="C11" s="295"/>
      <c r="D11" s="295"/>
      <c r="E11" s="295">
        <v>2</v>
      </c>
      <c r="F11" s="296">
        <v>5611</v>
      </c>
      <c r="G11" s="295"/>
      <c r="H11" s="295"/>
      <c r="I11" s="295"/>
      <c r="J11" s="295"/>
      <c r="K11" s="301"/>
    </row>
    <row r="12" spans="1:13" ht="15.75" thickBot="1" x14ac:dyDescent="0.3">
      <c r="A12" s="291" t="s">
        <v>244</v>
      </c>
      <c r="B12" s="292" t="s">
        <v>439</v>
      </c>
      <c r="C12" s="293"/>
      <c r="D12" s="293"/>
      <c r="E12" s="293">
        <v>3</v>
      </c>
      <c r="F12" s="294">
        <v>19528</v>
      </c>
      <c r="G12" s="293"/>
      <c r="H12" s="293"/>
      <c r="I12" s="293"/>
      <c r="J12" s="293"/>
      <c r="K12" s="301"/>
    </row>
    <row r="13" spans="1:13" ht="15.75" thickBot="1" x14ac:dyDescent="0.3">
      <c r="A13" s="291" t="s">
        <v>244</v>
      </c>
      <c r="B13" s="292" t="s">
        <v>1243</v>
      </c>
      <c r="C13" s="295"/>
      <c r="D13" s="295"/>
      <c r="E13" s="295"/>
      <c r="F13" s="295"/>
      <c r="G13" s="295">
        <v>58</v>
      </c>
      <c r="H13" s="296">
        <v>162517</v>
      </c>
      <c r="I13" s="295">
        <v>152</v>
      </c>
      <c r="J13" s="296">
        <v>160589</v>
      </c>
      <c r="K13" s="300"/>
      <c r="L13" s="298">
        <f>G13*H13</f>
        <v>9425986</v>
      </c>
      <c r="M13" s="298">
        <f>H13*I13</f>
        <v>24702584</v>
      </c>
    </row>
    <row r="14" spans="1:13" ht="15.75" thickBot="1" x14ac:dyDescent="0.3">
      <c r="A14" s="291" t="s">
        <v>244</v>
      </c>
      <c r="B14" s="292" t="s">
        <v>441</v>
      </c>
      <c r="C14" s="293"/>
      <c r="D14" s="293"/>
      <c r="E14" s="293">
        <v>11</v>
      </c>
      <c r="F14" s="294">
        <v>20155</v>
      </c>
      <c r="G14" s="293"/>
      <c r="H14" s="293"/>
      <c r="I14" s="293"/>
      <c r="J14" s="293"/>
      <c r="K14" s="301"/>
    </row>
    <row r="15" spans="1:13" ht="15.75" thickBot="1" x14ac:dyDescent="0.3">
      <c r="A15" s="291" t="s">
        <v>244</v>
      </c>
      <c r="B15" s="292" t="s">
        <v>442</v>
      </c>
      <c r="C15" s="295"/>
      <c r="D15" s="295"/>
      <c r="E15" s="295">
        <v>18</v>
      </c>
      <c r="F15" s="296">
        <v>74208</v>
      </c>
      <c r="G15" s="295">
        <v>34</v>
      </c>
      <c r="H15" s="296">
        <v>2107</v>
      </c>
      <c r="I15" s="295"/>
      <c r="J15" s="295"/>
      <c r="K15" s="301"/>
      <c r="L15" s="298">
        <v>0</v>
      </c>
    </row>
    <row r="16" spans="1:13" ht="30.75" thickBot="1" x14ac:dyDescent="0.3">
      <c r="A16" s="291" t="s">
        <v>244</v>
      </c>
      <c r="B16" s="292" t="s">
        <v>1252</v>
      </c>
      <c r="C16" s="293"/>
      <c r="D16" s="293"/>
      <c r="E16" s="293">
        <v>206</v>
      </c>
      <c r="F16" s="294">
        <v>442590</v>
      </c>
      <c r="G16" s="293">
        <v>186</v>
      </c>
      <c r="H16" s="294">
        <v>370269</v>
      </c>
      <c r="I16" s="293"/>
      <c r="J16" s="293"/>
      <c r="K16" s="301"/>
      <c r="L16" s="298">
        <f>G16*H16</f>
        <v>68870034</v>
      </c>
      <c r="M16" s="298">
        <v>68870034</v>
      </c>
    </row>
    <row r="17" spans="1:13" ht="15.75" thickBot="1" x14ac:dyDescent="0.3">
      <c r="A17" s="291" t="s">
        <v>244</v>
      </c>
      <c r="B17" s="292" t="s">
        <v>1248</v>
      </c>
      <c r="C17" s="295"/>
      <c r="D17" s="295"/>
      <c r="E17" s="295">
        <v>68</v>
      </c>
      <c r="F17" s="296">
        <v>196476</v>
      </c>
      <c r="G17" s="295"/>
      <c r="H17" s="295"/>
      <c r="I17" s="295"/>
      <c r="J17" s="295"/>
      <c r="K17" s="301" t="s">
        <v>1253</v>
      </c>
      <c r="L17" s="298">
        <f>SUM(L6:L16)</f>
        <v>84455383</v>
      </c>
      <c r="M17" s="298">
        <f>SUM(M6:M16)</f>
        <v>100734668</v>
      </c>
    </row>
    <row r="18" spans="1:13" ht="15.75" thickBot="1" x14ac:dyDescent="0.3">
      <c r="A18" s="297" t="s">
        <v>244</v>
      </c>
      <c r="B18" s="295" t="s">
        <v>125</v>
      </c>
      <c r="C18" s="293"/>
      <c r="D18" s="293"/>
      <c r="E18" s="293">
        <v>429</v>
      </c>
      <c r="F18" s="294">
        <v>275259</v>
      </c>
      <c r="G18" s="293">
        <v>321</v>
      </c>
      <c r="H18" s="294">
        <v>263324</v>
      </c>
      <c r="I18" s="293">
        <v>202</v>
      </c>
      <c r="J18" s="294">
        <v>163320</v>
      </c>
      <c r="K18" s="300" t="s">
        <v>1254</v>
      </c>
      <c r="L18" s="298">
        <f>L17/287</f>
        <v>294269.62717770034</v>
      </c>
      <c r="M18" s="298">
        <f>M17/388</f>
        <v>259625.43298969071</v>
      </c>
    </row>
    <row r="19" spans="1:13" x14ac:dyDescent="0.25">
      <c r="K19" t="s">
        <v>1255</v>
      </c>
      <c r="L19" s="298">
        <f>(L18+M18)/2</f>
        <v>276947.53008369554</v>
      </c>
    </row>
    <row r="20" spans="1:13" ht="15.75" thickBot="1" x14ac:dyDescent="0.3">
      <c r="K20" s="302" t="s">
        <v>1256</v>
      </c>
      <c r="L20" s="303">
        <f>L19*1.12</f>
        <v>310181.23369373905</v>
      </c>
    </row>
    <row r="21" spans="1:13" ht="15.75" thickTop="1" x14ac:dyDescent="0.25"/>
  </sheetData>
  <mergeCells count="5">
    <mergeCell ref="C3:F3"/>
    <mergeCell ref="G3:J3"/>
    <mergeCell ref="C4:D4"/>
    <mergeCell ref="E4:H4"/>
    <mergeCell ref="I4:J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1"/>
  <sheetViews>
    <sheetView workbookViewId="0"/>
  </sheetViews>
  <sheetFormatPr defaultRowHeight="15" x14ac:dyDescent="0.25"/>
  <cols>
    <col min="1" max="1" width="5" customWidth="1"/>
    <col min="2" max="2" width="36.5703125" bestFit="1" customWidth="1"/>
    <col min="3" max="3" width="5.7109375" customWidth="1"/>
    <col min="4" max="4" width="7.5703125" customWidth="1"/>
    <col min="5" max="5" width="10.85546875" bestFit="1" customWidth="1"/>
    <col min="6" max="6" width="12.28515625" bestFit="1" customWidth="1"/>
    <col min="7" max="7" width="27.85546875" bestFit="1" customWidth="1"/>
    <col min="8" max="8" width="31" bestFit="1" customWidth="1"/>
    <col min="9" max="9" width="32.28515625" bestFit="1" customWidth="1"/>
    <col min="10" max="11" width="36.5703125" bestFit="1" customWidth="1"/>
    <col min="12" max="12" width="29" bestFit="1" customWidth="1"/>
    <col min="13" max="13" width="31.28515625" bestFit="1" customWidth="1"/>
    <col min="14" max="14" width="27.140625" bestFit="1" customWidth="1"/>
    <col min="15" max="16" width="36.5703125" bestFit="1" customWidth="1"/>
    <col min="17" max="17" width="35.7109375" bestFit="1" customWidth="1"/>
    <col min="18" max="18" width="29" bestFit="1" customWidth="1"/>
    <col min="19" max="19" width="32.85546875" bestFit="1" customWidth="1"/>
    <col min="20" max="20" width="36" bestFit="1" customWidth="1"/>
    <col min="21" max="21" width="36.5703125" bestFit="1" customWidth="1"/>
    <col min="22" max="22" width="26.5703125" bestFit="1" customWidth="1"/>
    <col min="23" max="23" width="27" bestFit="1" customWidth="1"/>
    <col min="24" max="24" width="28.7109375" bestFit="1" customWidth="1"/>
    <col min="25" max="25" width="36.5703125" bestFit="1" customWidth="1"/>
    <col min="26" max="26" width="26.140625" bestFit="1" customWidth="1"/>
    <col min="27" max="27" width="36.5703125" bestFit="1" customWidth="1"/>
    <col min="28" max="28" width="29.85546875" bestFit="1" customWidth="1"/>
    <col min="29" max="29" width="25.7109375" bestFit="1" customWidth="1"/>
    <col min="30" max="30" width="29.42578125" bestFit="1" customWidth="1"/>
    <col min="31" max="31" width="24.5703125" bestFit="1" customWidth="1"/>
    <col min="32" max="32" width="14.42578125" bestFit="1" customWidth="1"/>
    <col min="33" max="33" width="9.42578125" bestFit="1" customWidth="1"/>
    <col min="34" max="34" width="11.5703125" bestFit="1" customWidth="1"/>
    <col min="35" max="35" width="14.85546875" bestFit="1" customWidth="1"/>
    <col min="36" max="36" width="12" bestFit="1" customWidth="1"/>
    <col min="37" max="37" width="13.140625" bestFit="1" customWidth="1"/>
    <col min="38" max="38" width="15.140625" bestFit="1" customWidth="1"/>
    <col min="39" max="39" width="17" bestFit="1" customWidth="1"/>
    <col min="40" max="40" width="16.140625" bestFit="1" customWidth="1"/>
    <col min="41" max="41" width="12.140625" bestFit="1" customWidth="1"/>
    <col min="42" max="42" width="29.7109375" bestFit="1" customWidth="1"/>
    <col min="43" max="43" width="18.7109375" bestFit="1" customWidth="1"/>
    <col min="44" max="44" width="36.5703125" bestFit="1" customWidth="1"/>
    <col min="45" max="45" width="18" bestFit="1" customWidth="1"/>
    <col min="46" max="46" width="23" bestFit="1" customWidth="1"/>
    <col min="47" max="47" width="23.5703125" bestFit="1" customWidth="1"/>
    <col min="48" max="48" width="25.140625" bestFit="1" customWidth="1"/>
    <col min="49" max="49" width="13.5703125" bestFit="1" customWidth="1"/>
    <col min="50" max="50" width="26.42578125" bestFit="1" customWidth="1"/>
    <col min="51" max="51" width="16.5703125" bestFit="1" customWidth="1"/>
    <col min="52" max="52" width="15.42578125" bestFit="1" customWidth="1"/>
    <col min="53" max="53" width="12.7109375" bestFit="1" customWidth="1"/>
    <col min="54" max="54" width="14.140625" bestFit="1" customWidth="1"/>
    <col min="55" max="55" width="20.5703125" bestFit="1" customWidth="1"/>
    <col min="56" max="56" width="15.5703125" bestFit="1" customWidth="1"/>
  </cols>
  <sheetData>
    <row r="1" spans="1:56" x14ac:dyDescent="0.25">
      <c r="A1" s="10" t="s">
        <v>1259</v>
      </c>
    </row>
    <row r="2" spans="1:56" x14ac:dyDescent="0.25">
      <c r="A2" t="s">
        <v>1260</v>
      </c>
    </row>
    <row r="3" spans="1:56" ht="30" x14ac:dyDescent="0.25">
      <c r="A3" s="305" t="s">
        <v>1232</v>
      </c>
      <c r="B3" s="305" t="s">
        <v>1261</v>
      </c>
      <c r="C3" s="305" t="s">
        <v>329</v>
      </c>
      <c r="D3" s="305" t="s">
        <v>125</v>
      </c>
      <c r="E3" s="305" t="s">
        <v>1262</v>
      </c>
      <c r="F3" s="305" t="s">
        <v>1263</v>
      </c>
      <c r="G3" s="305" t="s">
        <v>1264</v>
      </c>
      <c r="H3" s="305" t="s">
        <v>1265</v>
      </c>
      <c r="I3" s="305" t="s">
        <v>1266</v>
      </c>
      <c r="J3" s="305" t="s">
        <v>1267</v>
      </c>
      <c r="K3" s="305" t="s">
        <v>1268</v>
      </c>
      <c r="L3" s="305" t="s">
        <v>1269</v>
      </c>
      <c r="M3" s="305" t="s">
        <v>1270</v>
      </c>
      <c r="N3" s="305" t="s">
        <v>1271</v>
      </c>
      <c r="O3" s="305" t="s">
        <v>1272</v>
      </c>
      <c r="P3" s="305" t="s">
        <v>1273</v>
      </c>
      <c r="Q3" s="305" t="s">
        <v>1274</v>
      </c>
      <c r="R3" s="305" t="s">
        <v>1275</v>
      </c>
      <c r="S3" s="305" t="s">
        <v>1276</v>
      </c>
      <c r="T3" s="305" t="s">
        <v>1277</v>
      </c>
      <c r="U3" s="305" t="s">
        <v>1278</v>
      </c>
      <c r="V3" s="305" t="s">
        <v>1279</v>
      </c>
      <c r="W3" s="305" t="s">
        <v>1280</v>
      </c>
      <c r="X3" s="305" t="s">
        <v>1281</v>
      </c>
      <c r="Y3" s="305" t="s">
        <v>1282</v>
      </c>
      <c r="Z3" s="305" t="s">
        <v>1283</v>
      </c>
      <c r="AA3" s="305" t="s">
        <v>1284</v>
      </c>
      <c r="AB3" s="305" t="s">
        <v>1285</v>
      </c>
      <c r="AC3" s="305" t="s">
        <v>1286</v>
      </c>
      <c r="AD3" s="305" t="s">
        <v>1287</v>
      </c>
      <c r="AE3" s="305" t="s">
        <v>1288</v>
      </c>
      <c r="AF3" s="305" t="s">
        <v>1289</v>
      </c>
      <c r="AG3" s="305" t="s">
        <v>1290</v>
      </c>
      <c r="AH3" s="305" t="s">
        <v>1291</v>
      </c>
      <c r="AI3" s="305" t="s">
        <v>1292</v>
      </c>
      <c r="AJ3" s="305" t="s">
        <v>1293</v>
      </c>
      <c r="AK3" s="305" t="s">
        <v>1294</v>
      </c>
      <c r="AL3" s="305" t="s">
        <v>1295</v>
      </c>
      <c r="AM3" s="305" t="s">
        <v>1296</v>
      </c>
      <c r="AN3" s="305" t="s">
        <v>1297</v>
      </c>
      <c r="AO3" s="305" t="s">
        <v>1298</v>
      </c>
      <c r="AP3" s="305" t="s">
        <v>1299</v>
      </c>
      <c r="AQ3" s="305" t="s">
        <v>1300</v>
      </c>
      <c r="AR3" s="305" t="s">
        <v>1301</v>
      </c>
      <c r="AS3" s="305" t="s">
        <v>1302</v>
      </c>
      <c r="AT3" s="305" t="s">
        <v>1303</v>
      </c>
      <c r="AU3" s="305" t="s">
        <v>1304</v>
      </c>
      <c r="AV3" s="305" t="s">
        <v>1305</v>
      </c>
      <c r="AW3" s="305" t="s">
        <v>1306</v>
      </c>
      <c r="AX3" s="305" t="s">
        <v>1307</v>
      </c>
      <c r="AY3" s="305" t="s">
        <v>1308</v>
      </c>
      <c r="AZ3" s="305" t="s">
        <v>1309</v>
      </c>
      <c r="BA3" s="305" t="s">
        <v>1310</v>
      </c>
      <c r="BB3" s="305" t="s">
        <v>1311</v>
      </c>
      <c r="BC3" s="305" t="s">
        <v>1312</v>
      </c>
      <c r="BD3" s="305" t="s">
        <v>1313</v>
      </c>
    </row>
    <row r="4" spans="1:56" x14ac:dyDescent="0.25">
      <c r="A4" s="77">
        <v>2609</v>
      </c>
      <c r="B4" s="77" t="s">
        <v>1314</v>
      </c>
      <c r="C4" s="306">
        <v>5019</v>
      </c>
      <c r="D4" s="306">
        <v>78410</v>
      </c>
      <c r="E4" s="306">
        <v>63001</v>
      </c>
      <c r="F4" s="306">
        <v>15295</v>
      </c>
      <c r="G4" s="77">
        <v>113</v>
      </c>
      <c r="H4" s="77">
        <v>1</v>
      </c>
      <c r="I4" s="77">
        <v>0</v>
      </c>
      <c r="J4" s="77">
        <v>0</v>
      </c>
      <c r="K4" s="77">
        <v>0</v>
      </c>
      <c r="L4" s="77">
        <v>0</v>
      </c>
      <c r="M4" s="77">
        <v>23</v>
      </c>
      <c r="N4" s="77">
        <v>0</v>
      </c>
      <c r="O4" s="77">
        <v>11</v>
      </c>
      <c r="P4" s="77">
        <v>14</v>
      </c>
      <c r="Q4" s="77">
        <v>0</v>
      </c>
      <c r="R4" s="77">
        <v>0</v>
      </c>
      <c r="S4" s="77">
        <v>0</v>
      </c>
      <c r="T4" s="77">
        <v>0</v>
      </c>
      <c r="U4" s="77">
        <v>1</v>
      </c>
      <c r="V4" s="77">
        <v>2</v>
      </c>
      <c r="W4" s="77">
        <v>54</v>
      </c>
      <c r="X4" s="77">
        <v>4</v>
      </c>
      <c r="Y4" s="77">
        <v>0</v>
      </c>
      <c r="Z4" s="77">
        <v>0</v>
      </c>
      <c r="AA4" s="77">
        <v>2</v>
      </c>
      <c r="AB4" s="77">
        <v>0</v>
      </c>
      <c r="AC4" s="77">
        <v>0</v>
      </c>
      <c r="AD4" s="77">
        <v>0</v>
      </c>
      <c r="AE4" s="77">
        <v>0</v>
      </c>
      <c r="AF4" s="77">
        <v>87</v>
      </c>
      <c r="AG4" s="77">
        <v>6</v>
      </c>
      <c r="AH4" s="77">
        <v>0</v>
      </c>
      <c r="AI4" s="306">
        <v>2105</v>
      </c>
      <c r="AJ4" s="77">
        <v>0</v>
      </c>
      <c r="AK4" s="306">
        <v>7287</v>
      </c>
      <c r="AL4" s="306">
        <v>1276</v>
      </c>
      <c r="AM4" s="77">
        <v>0</v>
      </c>
      <c r="AN4" s="77">
        <v>0</v>
      </c>
      <c r="AO4" s="306">
        <v>1318</v>
      </c>
      <c r="AP4" s="77">
        <v>0</v>
      </c>
      <c r="AQ4" s="306">
        <v>1068</v>
      </c>
      <c r="AR4" s="77">
        <v>112</v>
      </c>
      <c r="AS4" s="77">
        <v>0</v>
      </c>
      <c r="AT4" s="77">
        <v>14</v>
      </c>
      <c r="AU4" s="77">
        <v>126</v>
      </c>
      <c r="AV4" s="77">
        <v>10</v>
      </c>
      <c r="AW4" s="77">
        <v>113</v>
      </c>
      <c r="AX4" s="77">
        <v>15</v>
      </c>
      <c r="AY4" s="77">
        <v>15</v>
      </c>
      <c r="AZ4" s="77">
        <v>5</v>
      </c>
      <c r="BA4" s="77">
        <v>35</v>
      </c>
      <c r="BB4" s="306">
        <v>1482</v>
      </c>
      <c r="BC4" s="77">
        <v>0</v>
      </c>
      <c r="BD4" s="77">
        <v>135</v>
      </c>
    </row>
    <row r="5" spans="1:56" x14ac:dyDescent="0.25">
      <c r="A5" s="77">
        <v>2609</v>
      </c>
      <c r="B5" s="77" t="s">
        <v>1315</v>
      </c>
      <c r="C5" s="77">
        <v>695</v>
      </c>
      <c r="D5" s="306">
        <v>61580</v>
      </c>
      <c r="E5" s="306">
        <v>47662</v>
      </c>
      <c r="F5" s="306">
        <v>13883</v>
      </c>
      <c r="G5" s="77">
        <v>34</v>
      </c>
      <c r="H5" s="77">
        <v>0</v>
      </c>
      <c r="I5" s="77">
        <v>0</v>
      </c>
      <c r="J5" s="77">
        <v>0</v>
      </c>
      <c r="K5" s="77">
        <v>0</v>
      </c>
      <c r="L5" s="77">
        <v>0</v>
      </c>
      <c r="M5" s="77">
        <v>3</v>
      </c>
      <c r="N5" s="77">
        <v>0</v>
      </c>
      <c r="O5" s="77">
        <v>0</v>
      </c>
      <c r="P5" s="77">
        <v>0</v>
      </c>
      <c r="Q5" s="77">
        <v>0</v>
      </c>
      <c r="R5" s="77">
        <v>2</v>
      </c>
      <c r="S5" s="77">
        <v>0</v>
      </c>
      <c r="T5" s="77">
        <v>0</v>
      </c>
      <c r="U5" s="77">
        <v>0</v>
      </c>
      <c r="V5" s="77">
        <v>0</v>
      </c>
      <c r="W5" s="77">
        <v>0</v>
      </c>
      <c r="X5" s="77">
        <v>20</v>
      </c>
      <c r="Y5" s="77">
        <v>0</v>
      </c>
      <c r="Z5" s="77">
        <v>0</v>
      </c>
      <c r="AA5" s="77">
        <v>9</v>
      </c>
      <c r="AB5" s="77">
        <v>0</v>
      </c>
      <c r="AC5" s="77">
        <v>0</v>
      </c>
      <c r="AD5" s="77">
        <v>0</v>
      </c>
      <c r="AE5" s="77">
        <v>0</v>
      </c>
      <c r="AF5" s="77">
        <v>605</v>
      </c>
      <c r="AG5" s="77">
        <v>0</v>
      </c>
      <c r="AH5" s="77">
        <v>0</v>
      </c>
      <c r="AI5" s="77">
        <v>557</v>
      </c>
      <c r="AJ5" s="77">
        <v>0</v>
      </c>
      <c r="AK5" s="306">
        <v>8935</v>
      </c>
      <c r="AL5" s="77">
        <v>430</v>
      </c>
      <c r="AM5" s="77">
        <v>0</v>
      </c>
      <c r="AN5" s="77">
        <v>0</v>
      </c>
      <c r="AO5" s="77">
        <v>559</v>
      </c>
      <c r="AP5" s="77">
        <v>0</v>
      </c>
      <c r="AQ5" s="77">
        <v>976</v>
      </c>
      <c r="AR5" s="77">
        <v>36</v>
      </c>
      <c r="AS5" s="77">
        <v>0</v>
      </c>
      <c r="AT5" s="77">
        <v>0</v>
      </c>
      <c r="AU5" s="77">
        <v>123</v>
      </c>
      <c r="AV5" s="77">
        <v>0</v>
      </c>
      <c r="AW5" s="77">
        <v>0</v>
      </c>
      <c r="AX5" s="77">
        <v>0</v>
      </c>
      <c r="AY5" s="77">
        <v>0</v>
      </c>
      <c r="AZ5" s="77">
        <v>30</v>
      </c>
      <c r="BA5" s="77">
        <v>40</v>
      </c>
      <c r="BB5" s="306">
        <v>1593</v>
      </c>
      <c r="BC5" s="77">
        <v>0</v>
      </c>
      <c r="BD5" s="77">
        <v>0</v>
      </c>
    </row>
    <row r="6" spans="1:56" x14ac:dyDescent="0.25">
      <c r="A6" s="77">
        <v>2609</v>
      </c>
      <c r="B6" s="77" t="s">
        <v>1316</v>
      </c>
      <c r="C6" s="77">
        <v>617</v>
      </c>
      <c r="D6" s="306">
        <v>77540</v>
      </c>
      <c r="E6" s="306">
        <v>62095</v>
      </c>
      <c r="F6" s="306">
        <v>15160</v>
      </c>
      <c r="G6" s="77">
        <v>285</v>
      </c>
      <c r="H6" s="77">
        <v>0</v>
      </c>
      <c r="I6" s="77">
        <v>0</v>
      </c>
      <c r="J6" s="77">
        <v>0</v>
      </c>
      <c r="K6" s="77">
        <v>0</v>
      </c>
      <c r="L6" s="77">
        <v>0</v>
      </c>
      <c r="M6" s="77">
        <v>152</v>
      </c>
      <c r="N6" s="77">
        <v>0</v>
      </c>
      <c r="O6" s="77">
        <v>0</v>
      </c>
      <c r="P6" s="77">
        <v>34</v>
      </c>
      <c r="Q6" s="77">
        <v>0</v>
      </c>
      <c r="R6" s="77">
        <v>0</v>
      </c>
      <c r="S6" s="77">
        <v>0</v>
      </c>
      <c r="T6" s="77">
        <v>0</v>
      </c>
      <c r="U6" s="77">
        <v>0</v>
      </c>
      <c r="V6" s="77">
        <v>0</v>
      </c>
      <c r="W6" s="77">
        <v>84</v>
      </c>
      <c r="X6" s="77">
        <v>11</v>
      </c>
      <c r="Y6" s="77">
        <v>0</v>
      </c>
      <c r="Z6" s="77">
        <v>0</v>
      </c>
      <c r="AA6" s="77">
        <v>3</v>
      </c>
      <c r="AB6" s="77">
        <v>0</v>
      </c>
      <c r="AC6" s="77">
        <v>0</v>
      </c>
      <c r="AD6" s="77">
        <v>0</v>
      </c>
      <c r="AE6" s="77">
        <v>2</v>
      </c>
      <c r="AF6" s="77">
        <v>29</v>
      </c>
      <c r="AG6" s="77">
        <v>0</v>
      </c>
      <c r="AH6" s="77">
        <v>0</v>
      </c>
      <c r="AI6" s="306">
        <v>1581</v>
      </c>
      <c r="AJ6" s="77">
        <v>0</v>
      </c>
      <c r="AK6" s="306">
        <v>10609</v>
      </c>
      <c r="AL6" s="77">
        <v>0</v>
      </c>
      <c r="AM6" s="77">
        <v>0</v>
      </c>
      <c r="AN6" s="77">
        <v>0</v>
      </c>
      <c r="AO6" s="77">
        <v>941</v>
      </c>
      <c r="AP6" s="77">
        <v>0</v>
      </c>
      <c r="AQ6" s="77">
        <v>906</v>
      </c>
      <c r="AR6" s="77">
        <v>28</v>
      </c>
      <c r="AS6" s="77">
        <v>0</v>
      </c>
      <c r="AT6" s="77">
        <v>0</v>
      </c>
      <c r="AU6" s="77">
        <v>47</v>
      </c>
      <c r="AV6" s="77">
        <v>0</v>
      </c>
      <c r="AW6" s="77">
        <v>0</v>
      </c>
      <c r="AX6" s="77">
        <v>0</v>
      </c>
      <c r="AY6" s="77">
        <v>126</v>
      </c>
      <c r="AZ6" s="77">
        <v>0</v>
      </c>
      <c r="BA6" s="77">
        <v>2</v>
      </c>
      <c r="BB6" s="77">
        <v>893</v>
      </c>
      <c r="BC6" s="77">
        <v>0</v>
      </c>
      <c r="BD6" s="77">
        <v>0</v>
      </c>
    </row>
    <row r="7" spans="1:56" x14ac:dyDescent="0.25">
      <c r="A7" s="77">
        <v>2609</v>
      </c>
      <c r="B7" s="77" t="s">
        <v>1317</v>
      </c>
      <c r="C7" s="77">
        <v>513</v>
      </c>
      <c r="D7" s="306">
        <v>125710</v>
      </c>
      <c r="E7" s="306">
        <v>110181</v>
      </c>
      <c r="F7" s="306">
        <v>15378</v>
      </c>
      <c r="G7" s="77">
        <v>151</v>
      </c>
      <c r="H7" s="77">
        <v>0</v>
      </c>
      <c r="I7" s="77">
        <v>0</v>
      </c>
      <c r="J7" s="77">
        <v>0</v>
      </c>
      <c r="K7" s="77">
        <v>0</v>
      </c>
      <c r="L7" s="77">
        <v>0</v>
      </c>
      <c r="M7" s="77">
        <v>2</v>
      </c>
      <c r="N7" s="77">
        <v>0</v>
      </c>
      <c r="O7" s="77">
        <v>10</v>
      </c>
      <c r="P7" s="77">
        <v>38</v>
      </c>
      <c r="Q7" s="77">
        <v>0</v>
      </c>
      <c r="R7" s="77">
        <v>0</v>
      </c>
      <c r="S7" s="77">
        <v>0</v>
      </c>
      <c r="T7" s="77">
        <v>0</v>
      </c>
      <c r="U7" s="77">
        <v>0</v>
      </c>
      <c r="V7" s="77">
        <v>0</v>
      </c>
      <c r="W7" s="77">
        <v>95</v>
      </c>
      <c r="X7" s="77">
        <v>0</v>
      </c>
      <c r="Y7" s="77">
        <v>0</v>
      </c>
      <c r="Z7" s="77">
        <v>0</v>
      </c>
      <c r="AA7" s="77">
        <v>6</v>
      </c>
      <c r="AB7" s="77">
        <v>0</v>
      </c>
      <c r="AC7" s="77">
        <v>0</v>
      </c>
      <c r="AD7" s="77">
        <v>0</v>
      </c>
      <c r="AE7" s="77">
        <v>0</v>
      </c>
      <c r="AF7" s="77">
        <v>0</v>
      </c>
      <c r="AG7" s="77">
        <v>0</v>
      </c>
      <c r="AH7" s="77">
        <v>0</v>
      </c>
      <c r="AI7" s="306">
        <v>2755</v>
      </c>
      <c r="AJ7" s="77">
        <v>0</v>
      </c>
      <c r="AK7" s="306">
        <v>4820</v>
      </c>
      <c r="AL7" s="306">
        <v>3335</v>
      </c>
      <c r="AM7" s="77">
        <v>0</v>
      </c>
      <c r="AN7" s="77">
        <v>0</v>
      </c>
      <c r="AO7" s="306">
        <v>2077</v>
      </c>
      <c r="AP7" s="77">
        <v>0</v>
      </c>
      <c r="AQ7" s="77">
        <v>995</v>
      </c>
      <c r="AR7" s="77">
        <v>0</v>
      </c>
      <c r="AS7" s="77">
        <v>0</v>
      </c>
      <c r="AT7" s="77">
        <v>0</v>
      </c>
      <c r="AU7" s="77">
        <v>86</v>
      </c>
      <c r="AV7" s="77">
        <v>0</v>
      </c>
      <c r="AW7" s="77">
        <v>0</v>
      </c>
      <c r="AX7" s="77">
        <v>0</v>
      </c>
      <c r="AY7" s="77">
        <v>0</v>
      </c>
      <c r="AZ7" s="77">
        <v>0</v>
      </c>
      <c r="BA7" s="77">
        <v>54</v>
      </c>
      <c r="BB7" s="306">
        <v>1255</v>
      </c>
      <c r="BC7" s="77">
        <v>0</v>
      </c>
      <c r="BD7" s="77">
        <v>0</v>
      </c>
    </row>
    <row r="8" spans="1:56" x14ac:dyDescent="0.25">
      <c r="A8" s="77">
        <v>2609</v>
      </c>
      <c r="B8" s="77" t="s">
        <v>1318</v>
      </c>
      <c r="C8" s="306">
        <v>1744</v>
      </c>
      <c r="D8" s="306">
        <v>84190</v>
      </c>
      <c r="E8" s="306">
        <v>64304</v>
      </c>
      <c r="F8" s="306">
        <v>19730</v>
      </c>
      <c r="G8" s="77">
        <v>157</v>
      </c>
      <c r="H8" s="77">
        <v>0</v>
      </c>
      <c r="I8" s="77">
        <v>0</v>
      </c>
      <c r="J8" s="77">
        <v>1</v>
      </c>
      <c r="K8" s="77">
        <v>0</v>
      </c>
      <c r="L8" s="77">
        <v>1</v>
      </c>
      <c r="M8" s="77">
        <v>5</v>
      </c>
      <c r="N8" s="77">
        <v>0</v>
      </c>
      <c r="O8" s="77">
        <v>28</v>
      </c>
      <c r="P8" s="77">
        <v>16</v>
      </c>
      <c r="Q8" s="77">
        <v>0</v>
      </c>
      <c r="R8" s="77">
        <v>0</v>
      </c>
      <c r="S8" s="77">
        <v>0</v>
      </c>
      <c r="T8" s="77">
        <v>0</v>
      </c>
      <c r="U8" s="77">
        <v>4</v>
      </c>
      <c r="V8" s="77">
        <v>5</v>
      </c>
      <c r="W8" s="77">
        <v>95</v>
      </c>
      <c r="X8" s="77">
        <v>0</v>
      </c>
      <c r="Y8" s="77">
        <v>0</v>
      </c>
      <c r="Z8" s="77">
        <v>0</v>
      </c>
      <c r="AA8" s="77">
        <v>1</v>
      </c>
      <c r="AB8" s="77">
        <v>0</v>
      </c>
      <c r="AC8" s="77">
        <v>0</v>
      </c>
      <c r="AD8" s="77">
        <v>1</v>
      </c>
      <c r="AE8" s="77">
        <v>0</v>
      </c>
      <c r="AF8" s="77">
        <v>0</v>
      </c>
      <c r="AG8" s="77">
        <v>16</v>
      </c>
      <c r="AH8" s="77">
        <v>0</v>
      </c>
      <c r="AI8" s="77">
        <v>793</v>
      </c>
      <c r="AJ8" s="77">
        <v>0</v>
      </c>
      <c r="AK8" s="306">
        <v>11606</v>
      </c>
      <c r="AL8" s="77">
        <v>474</v>
      </c>
      <c r="AM8" s="77">
        <v>0</v>
      </c>
      <c r="AN8" s="77">
        <v>0</v>
      </c>
      <c r="AO8" s="306">
        <v>2524</v>
      </c>
      <c r="AP8" s="77">
        <v>0</v>
      </c>
      <c r="AQ8" s="306">
        <v>1292</v>
      </c>
      <c r="AR8" s="77">
        <v>201</v>
      </c>
      <c r="AS8" s="77">
        <v>0</v>
      </c>
      <c r="AT8" s="77">
        <v>39</v>
      </c>
      <c r="AU8" s="77">
        <v>115</v>
      </c>
      <c r="AV8" s="77">
        <v>30</v>
      </c>
      <c r="AW8" s="77">
        <v>327</v>
      </c>
      <c r="AX8" s="77">
        <v>31</v>
      </c>
      <c r="AY8" s="77">
        <v>0</v>
      </c>
      <c r="AZ8" s="77">
        <v>0</v>
      </c>
      <c r="BA8" s="77">
        <v>44</v>
      </c>
      <c r="BB8" s="306">
        <v>1988</v>
      </c>
      <c r="BC8" s="77">
        <v>0</v>
      </c>
      <c r="BD8" s="77">
        <v>2</v>
      </c>
    </row>
    <row r="9" spans="1:56" x14ac:dyDescent="0.25">
      <c r="A9" s="77">
        <v>2609</v>
      </c>
      <c r="B9" s="77" t="s">
        <v>1319</v>
      </c>
      <c r="C9" s="306">
        <v>1450</v>
      </c>
      <c r="D9" s="306">
        <v>63159</v>
      </c>
      <c r="E9" s="306">
        <v>52480</v>
      </c>
      <c r="F9" s="306">
        <v>10666</v>
      </c>
      <c r="G9" s="77">
        <v>13</v>
      </c>
      <c r="H9" s="77">
        <v>2</v>
      </c>
      <c r="I9" s="77">
        <v>0</v>
      </c>
      <c r="J9" s="77">
        <v>0</v>
      </c>
      <c r="K9" s="77">
        <v>1</v>
      </c>
      <c r="L9" s="77">
        <v>0</v>
      </c>
      <c r="M9" s="77">
        <v>8</v>
      </c>
      <c r="N9" s="77">
        <v>0</v>
      </c>
      <c r="O9" s="77">
        <v>0</v>
      </c>
      <c r="P9" s="77">
        <v>0</v>
      </c>
      <c r="Q9" s="77">
        <v>0</v>
      </c>
      <c r="R9" s="77">
        <v>0</v>
      </c>
      <c r="S9" s="77">
        <v>0</v>
      </c>
      <c r="T9" s="77">
        <v>0</v>
      </c>
      <c r="U9" s="77">
        <v>0</v>
      </c>
      <c r="V9" s="77">
        <v>0</v>
      </c>
      <c r="W9" s="77">
        <v>3</v>
      </c>
      <c r="X9" s="77">
        <v>0</v>
      </c>
      <c r="Y9" s="77">
        <v>0</v>
      </c>
      <c r="Z9" s="77">
        <v>0</v>
      </c>
      <c r="AA9" s="77">
        <v>0</v>
      </c>
      <c r="AB9" s="77">
        <v>0</v>
      </c>
      <c r="AC9" s="77">
        <v>0</v>
      </c>
      <c r="AD9" s="77">
        <v>0</v>
      </c>
      <c r="AE9" s="77">
        <v>0</v>
      </c>
      <c r="AF9" s="77">
        <v>0</v>
      </c>
      <c r="AG9" s="77">
        <v>0</v>
      </c>
      <c r="AH9" s="77">
        <v>0</v>
      </c>
      <c r="AI9" s="306">
        <v>4417</v>
      </c>
      <c r="AJ9" s="77">
        <v>0</v>
      </c>
      <c r="AK9" s="77">
        <v>761</v>
      </c>
      <c r="AL9" s="306">
        <v>2460</v>
      </c>
      <c r="AM9" s="77">
        <v>0</v>
      </c>
      <c r="AN9" s="77">
        <v>0</v>
      </c>
      <c r="AO9" s="77">
        <v>123</v>
      </c>
      <c r="AP9" s="77">
        <v>0</v>
      </c>
      <c r="AQ9" s="77">
        <v>936</v>
      </c>
      <c r="AR9" s="77">
        <v>118</v>
      </c>
      <c r="AS9" s="77">
        <v>0</v>
      </c>
      <c r="AT9" s="77">
        <v>0</v>
      </c>
      <c r="AU9" s="77">
        <v>188</v>
      </c>
      <c r="AV9" s="77">
        <v>0</v>
      </c>
      <c r="AW9" s="77">
        <v>0</v>
      </c>
      <c r="AX9" s="77">
        <v>13</v>
      </c>
      <c r="AY9" s="77">
        <v>0</v>
      </c>
      <c r="AZ9" s="77">
        <v>2</v>
      </c>
      <c r="BA9" s="77">
        <v>30</v>
      </c>
      <c r="BB9" s="306">
        <v>1151</v>
      </c>
      <c r="BC9" s="77">
        <v>0</v>
      </c>
      <c r="BD9" s="77">
        <v>466</v>
      </c>
    </row>
    <row r="13" spans="1:56" x14ac:dyDescent="0.25">
      <c r="A13" s="10" t="s">
        <v>1320</v>
      </c>
    </row>
    <row r="14" spans="1:56" x14ac:dyDescent="0.25">
      <c r="A14" t="s">
        <v>1260</v>
      </c>
    </row>
    <row r="15" spans="1:56" ht="45" x14ac:dyDescent="0.25">
      <c r="A15" s="305" t="s">
        <v>1232</v>
      </c>
      <c r="B15" s="305" t="s">
        <v>1261</v>
      </c>
      <c r="C15" s="305" t="s">
        <v>329</v>
      </c>
      <c r="D15" s="305" t="s">
        <v>125</v>
      </c>
      <c r="E15" s="305" t="s">
        <v>1262</v>
      </c>
      <c r="F15" s="305" t="s">
        <v>1263</v>
      </c>
      <c r="G15" s="305" t="s">
        <v>1264</v>
      </c>
      <c r="H15" s="305" t="s">
        <v>1265</v>
      </c>
      <c r="I15" s="305" t="s">
        <v>1266</v>
      </c>
      <c r="J15" s="305" t="s">
        <v>1267</v>
      </c>
      <c r="K15" s="305" t="s">
        <v>1268</v>
      </c>
      <c r="L15" s="305" t="s">
        <v>1269</v>
      </c>
      <c r="M15" s="305" t="s">
        <v>1270</v>
      </c>
      <c r="N15" s="305" t="s">
        <v>1271</v>
      </c>
      <c r="O15" s="305" t="s">
        <v>1272</v>
      </c>
      <c r="P15" s="305" t="s">
        <v>1273</v>
      </c>
      <c r="Q15" s="305" t="s">
        <v>1274</v>
      </c>
      <c r="R15" s="305" t="s">
        <v>1275</v>
      </c>
      <c r="S15" s="305" t="s">
        <v>1276</v>
      </c>
      <c r="T15" s="305" t="s">
        <v>1277</v>
      </c>
      <c r="U15" s="305" t="s">
        <v>1278</v>
      </c>
      <c r="V15" s="305" t="s">
        <v>1279</v>
      </c>
      <c r="W15" s="305" t="s">
        <v>1280</v>
      </c>
      <c r="X15" s="305" t="s">
        <v>1281</v>
      </c>
      <c r="Y15" s="305" t="s">
        <v>1282</v>
      </c>
      <c r="Z15" s="305" t="s">
        <v>1283</v>
      </c>
      <c r="AA15" s="305" t="s">
        <v>1284</v>
      </c>
      <c r="AB15" s="305" t="s">
        <v>1285</v>
      </c>
      <c r="AC15" s="305" t="s">
        <v>1286</v>
      </c>
      <c r="AD15" s="305" t="s">
        <v>1287</v>
      </c>
      <c r="AE15" s="305" t="s">
        <v>1288</v>
      </c>
      <c r="AF15" s="305" t="s">
        <v>1289</v>
      </c>
      <c r="AG15" s="305" t="s">
        <v>1290</v>
      </c>
      <c r="AH15" s="305" t="s">
        <v>1291</v>
      </c>
      <c r="AI15" s="305" t="s">
        <v>1292</v>
      </c>
      <c r="AJ15" s="305" t="s">
        <v>1293</v>
      </c>
      <c r="AK15" s="305" t="s">
        <v>1294</v>
      </c>
      <c r="AL15" s="305" t="s">
        <v>1295</v>
      </c>
      <c r="AM15" s="305" t="s">
        <v>1296</v>
      </c>
      <c r="AN15" s="305" t="s">
        <v>1297</v>
      </c>
      <c r="AO15" s="305" t="s">
        <v>1298</v>
      </c>
      <c r="AP15" s="305" t="s">
        <v>1299</v>
      </c>
      <c r="AQ15" s="305" t="s">
        <v>1300</v>
      </c>
      <c r="AR15" s="305" t="s">
        <v>1301</v>
      </c>
      <c r="AS15" s="305" t="s">
        <v>1302</v>
      </c>
      <c r="AT15" s="305" t="s">
        <v>1303</v>
      </c>
      <c r="AU15" s="305" t="s">
        <v>1304</v>
      </c>
      <c r="AV15" s="305" t="s">
        <v>1306</v>
      </c>
      <c r="AW15" s="305" t="s">
        <v>1307</v>
      </c>
      <c r="AX15" s="305" t="s">
        <v>1308</v>
      </c>
      <c r="AY15" s="305" t="s">
        <v>1309</v>
      </c>
      <c r="AZ15" s="305" t="s">
        <v>1310</v>
      </c>
      <c r="BA15" s="305" t="s">
        <v>1311</v>
      </c>
      <c r="BB15" s="305" t="s">
        <v>1312</v>
      </c>
      <c r="BC15" s="305" t="s">
        <v>1313</v>
      </c>
    </row>
    <row r="16" spans="1:56" x14ac:dyDescent="0.25">
      <c r="A16" s="77">
        <v>2609</v>
      </c>
      <c r="B16" s="77" t="s">
        <v>1314</v>
      </c>
      <c r="C16" s="306">
        <v>5036</v>
      </c>
      <c r="D16" s="306">
        <v>90460</v>
      </c>
      <c r="E16" s="306">
        <v>72549</v>
      </c>
      <c r="F16" s="306">
        <v>17772</v>
      </c>
      <c r="G16" s="77">
        <v>139</v>
      </c>
      <c r="H16" s="77">
        <v>0</v>
      </c>
      <c r="I16" s="77">
        <v>0</v>
      </c>
      <c r="J16" s="77">
        <v>0</v>
      </c>
      <c r="K16" s="77">
        <v>0</v>
      </c>
      <c r="L16" s="77">
        <v>1</v>
      </c>
      <c r="M16" s="77">
        <v>29</v>
      </c>
      <c r="N16" s="77">
        <v>0</v>
      </c>
      <c r="O16" s="77">
        <v>13</v>
      </c>
      <c r="P16" s="77">
        <v>11</v>
      </c>
      <c r="Q16" s="77">
        <v>0</v>
      </c>
      <c r="R16" s="77">
        <v>2</v>
      </c>
      <c r="S16" s="77">
        <v>0</v>
      </c>
      <c r="T16" s="77">
        <v>0</v>
      </c>
      <c r="U16" s="77">
        <v>2</v>
      </c>
      <c r="V16" s="77">
        <v>1</v>
      </c>
      <c r="W16" s="77">
        <v>59</v>
      </c>
      <c r="X16" s="77">
        <v>10</v>
      </c>
      <c r="Y16" s="77">
        <v>0</v>
      </c>
      <c r="Z16" s="77">
        <v>0</v>
      </c>
      <c r="AA16" s="77">
        <v>10</v>
      </c>
      <c r="AB16" s="77">
        <v>0</v>
      </c>
      <c r="AC16" s="77">
        <v>0</v>
      </c>
      <c r="AD16" s="77">
        <v>1</v>
      </c>
      <c r="AE16" s="77">
        <v>1</v>
      </c>
      <c r="AF16" s="77">
        <v>12</v>
      </c>
      <c r="AG16" s="77">
        <v>9</v>
      </c>
      <c r="AH16" s="77">
        <v>1</v>
      </c>
      <c r="AI16" s="306">
        <v>3091</v>
      </c>
      <c r="AJ16" s="77">
        <v>0</v>
      </c>
      <c r="AK16" s="306">
        <v>8990</v>
      </c>
      <c r="AL16" s="306">
        <v>1720</v>
      </c>
      <c r="AM16" s="77">
        <v>0</v>
      </c>
      <c r="AN16" s="77">
        <v>4</v>
      </c>
      <c r="AO16" s="306">
        <v>1189</v>
      </c>
      <c r="AP16" s="77">
        <v>0</v>
      </c>
      <c r="AQ16" s="77">
        <v>896</v>
      </c>
      <c r="AR16" s="77">
        <v>67</v>
      </c>
      <c r="AS16" s="77">
        <v>0</v>
      </c>
      <c r="AT16" s="77">
        <v>0</v>
      </c>
      <c r="AU16" s="77">
        <v>127</v>
      </c>
      <c r="AV16" s="77">
        <v>60</v>
      </c>
      <c r="AW16" s="77">
        <v>45</v>
      </c>
      <c r="AX16" s="77">
        <v>3</v>
      </c>
      <c r="AY16" s="77">
        <v>11</v>
      </c>
      <c r="AZ16" s="77">
        <v>27</v>
      </c>
      <c r="BA16" s="306">
        <v>1436</v>
      </c>
      <c r="BB16" s="77">
        <v>0</v>
      </c>
      <c r="BC16" s="77">
        <v>8</v>
      </c>
    </row>
    <row r="17" spans="1:55" x14ac:dyDescent="0.25">
      <c r="A17" s="77">
        <v>2609</v>
      </c>
      <c r="B17" s="77" t="s">
        <v>1315</v>
      </c>
      <c r="C17" s="306">
        <v>1122</v>
      </c>
      <c r="D17" s="306">
        <v>87769</v>
      </c>
      <c r="E17" s="306">
        <v>68127</v>
      </c>
      <c r="F17" s="306">
        <v>19352</v>
      </c>
      <c r="G17" s="77">
        <v>290</v>
      </c>
      <c r="H17" s="77">
        <v>0</v>
      </c>
      <c r="I17" s="77">
        <v>0</v>
      </c>
      <c r="J17" s="77">
        <v>0</v>
      </c>
      <c r="K17" s="77">
        <v>0</v>
      </c>
      <c r="L17" s="77">
        <v>1</v>
      </c>
      <c r="M17" s="77">
        <v>32</v>
      </c>
      <c r="N17" s="77">
        <v>0</v>
      </c>
      <c r="O17" s="77">
        <v>7</v>
      </c>
      <c r="P17" s="77">
        <v>0</v>
      </c>
      <c r="Q17" s="77">
        <v>0</v>
      </c>
      <c r="R17" s="77">
        <v>2</v>
      </c>
      <c r="S17" s="77">
        <v>0</v>
      </c>
      <c r="T17" s="77">
        <v>0</v>
      </c>
      <c r="U17" s="77">
        <v>2</v>
      </c>
      <c r="V17" s="77">
        <v>0</v>
      </c>
      <c r="W17" s="77">
        <v>184</v>
      </c>
      <c r="X17" s="77">
        <v>42</v>
      </c>
      <c r="Y17" s="77">
        <v>0</v>
      </c>
      <c r="Z17" s="77">
        <v>0</v>
      </c>
      <c r="AA17" s="77">
        <v>19</v>
      </c>
      <c r="AB17" s="77">
        <v>0</v>
      </c>
      <c r="AC17" s="77">
        <v>0</v>
      </c>
      <c r="AD17" s="77">
        <v>1</v>
      </c>
      <c r="AE17" s="77">
        <v>0</v>
      </c>
      <c r="AF17" s="77">
        <v>2</v>
      </c>
      <c r="AG17" s="77">
        <v>0</v>
      </c>
      <c r="AH17" s="77">
        <v>0</v>
      </c>
      <c r="AI17" s="77">
        <v>907</v>
      </c>
      <c r="AJ17" s="77">
        <v>0</v>
      </c>
      <c r="AK17" s="306">
        <v>15685</v>
      </c>
      <c r="AL17" s="77">
        <v>436</v>
      </c>
      <c r="AM17" s="77">
        <v>0</v>
      </c>
      <c r="AN17" s="77">
        <v>0</v>
      </c>
      <c r="AO17" s="77">
        <v>0</v>
      </c>
      <c r="AP17" s="77">
        <v>0</v>
      </c>
      <c r="AQ17" s="77">
        <v>431</v>
      </c>
      <c r="AR17" s="77">
        <v>16</v>
      </c>
      <c r="AS17" s="77">
        <v>0</v>
      </c>
      <c r="AT17" s="77">
        <v>0</v>
      </c>
      <c r="AU17" s="77">
        <v>50</v>
      </c>
      <c r="AV17" s="77">
        <v>0</v>
      </c>
      <c r="AW17" s="77">
        <v>0</v>
      </c>
      <c r="AX17" s="77">
        <v>0</v>
      </c>
      <c r="AY17" s="77">
        <v>46</v>
      </c>
      <c r="AZ17" s="77">
        <v>13</v>
      </c>
      <c r="BA17" s="306">
        <v>1733</v>
      </c>
      <c r="BB17" s="77">
        <v>0</v>
      </c>
      <c r="BC17" s="77">
        <v>36</v>
      </c>
    </row>
    <row r="18" spans="1:55" x14ac:dyDescent="0.25">
      <c r="A18" s="77">
        <v>2609</v>
      </c>
      <c r="B18" s="77" t="s">
        <v>1316</v>
      </c>
      <c r="C18" s="77">
        <v>509</v>
      </c>
      <c r="D18" s="306">
        <v>82054</v>
      </c>
      <c r="E18" s="306">
        <v>65938</v>
      </c>
      <c r="F18" s="306">
        <v>15818</v>
      </c>
      <c r="G18" s="77">
        <v>299</v>
      </c>
      <c r="H18" s="77">
        <v>0</v>
      </c>
      <c r="I18" s="77">
        <v>0</v>
      </c>
      <c r="J18" s="77">
        <v>0</v>
      </c>
      <c r="K18" s="77">
        <v>1</v>
      </c>
      <c r="L18" s="77">
        <v>0</v>
      </c>
      <c r="M18" s="77">
        <v>188</v>
      </c>
      <c r="N18" s="77">
        <v>0</v>
      </c>
      <c r="O18" s="77">
        <v>0</v>
      </c>
      <c r="P18" s="77">
        <v>10</v>
      </c>
      <c r="Q18" s="77">
        <v>0</v>
      </c>
      <c r="R18" s="77">
        <v>0</v>
      </c>
      <c r="S18" s="77">
        <v>0</v>
      </c>
      <c r="T18" s="77">
        <v>0</v>
      </c>
      <c r="U18" s="77">
        <v>0</v>
      </c>
      <c r="V18" s="77">
        <v>0</v>
      </c>
      <c r="W18" s="77">
        <v>82</v>
      </c>
      <c r="X18" s="77">
        <v>3</v>
      </c>
      <c r="Y18" s="77">
        <v>0</v>
      </c>
      <c r="Z18" s="77">
        <v>0</v>
      </c>
      <c r="AA18" s="77">
        <v>10</v>
      </c>
      <c r="AB18" s="77">
        <v>0</v>
      </c>
      <c r="AC18" s="77">
        <v>0</v>
      </c>
      <c r="AD18" s="77">
        <v>0</v>
      </c>
      <c r="AE18" s="77">
        <v>4</v>
      </c>
      <c r="AF18" s="77">
        <v>110</v>
      </c>
      <c r="AG18" s="77">
        <v>0</v>
      </c>
      <c r="AH18" s="77">
        <v>0</v>
      </c>
      <c r="AI18" s="306">
        <v>3050</v>
      </c>
      <c r="AJ18" s="77">
        <v>0</v>
      </c>
      <c r="AK18" s="306">
        <v>8478</v>
      </c>
      <c r="AL18" s="306">
        <v>2255</v>
      </c>
      <c r="AM18" s="77">
        <v>0</v>
      </c>
      <c r="AN18" s="77">
        <v>0</v>
      </c>
      <c r="AO18" s="77">
        <v>470</v>
      </c>
      <c r="AP18" s="77">
        <v>0</v>
      </c>
      <c r="AQ18" s="77">
        <v>929</v>
      </c>
      <c r="AR18" s="77">
        <v>9</v>
      </c>
      <c r="AS18" s="77">
        <v>0</v>
      </c>
      <c r="AT18" s="77">
        <v>0</v>
      </c>
      <c r="AU18" s="77">
        <v>8</v>
      </c>
      <c r="AV18" s="77">
        <v>0</v>
      </c>
      <c r="AW18" s="77">
        <v>16</v>
      </c>
      <c r="AX18" s="77">
        <v>0</v>
      </c>
      <c r="AY18" s="77">
        <v>0</v>
      </c>
      <c r="AZ18" s="77">
        <v>5</v>
      </c>
      <c r="BA18" s="77">
        <v>486</v>
      </c>
      <c r="BB18" s="77">
        <v>0</v>
      </c>
      <c r="BC18" s="77">
        <v>0</v>
      </c>
    </row>
    <row r="19" spans="1:55" x14ac:dyDescent="0.25">
      <c r="A19" s="77">
        <v>2609</v>
      </c>
      <c r="B19" s="77" t="s">
        <v>1317</v>
      </c>
      <c r="C19" s="77">
        <v>598</v>
      </c>
      <c r="D19" s="306">
        <v>106633</v>
      </c>
      <c r="E19" s="306">
        <v>92874</v>
      </c>
      <c r="F19" s="306">
        <v>13730</v>
      </c>
      <c r="G19" s="77">
        <v>29</v>
      </c>
      <c r="H19" s="77">
        <v>0</v>
      </c>
      <c r="I19" s="77">
        <v>0</v>
      </c>
      <c r="J19" s="77">
        <v>0</v>
      </c>
      <c r="K19" s="77">
        <v>0</v>
      </c>
      <c r="L19" s="77">
        <v>0</v>
      </c>
      <c r="M19" s="77">
        <v>8</v>
      </c>
      <c r="N19" s="77">
        <v>0</v>
      </c>
      <c r="O19" s="77">
        <v>8</v>
      </c>
      <c r="P19" s="77">
        <v>2</v>
      </c>
      <c r="Q19" s="77">
        <v>0</v>
      </c>
      <c r="R19" s="77">
        <v>1</v>
      </c>
      <c r="S19" s="77">
        <v>0</v>
      </c>
      <c r="T19" s="77">
        <v>0</v>
      </c>
      <c r="U19" s="77">
        <v>0</v>
      </c>
      <c r="V19" s="77">
        <v>0</v>
      </c>
      <c r="W19" s="77">
        <v>7</v>
      </c>
      <c r="X19" s="77">
        <v>0</v>
      </c>
      <c r="Y19" s="77">
        <v>0</v>
      </c>
      <c r="Z19" s="77">
        <v>0</v>
      </c>
      <c r="AA19" s="77">
        <v>3</v>
      </c>
      <c r="AB19" s="77">
        <v>0</v>
      </c>
      <c r="AC19" s="77">
        <v>0</v>
      </c>
      <c r="AD19" s="77">
        <v>0</v>
      </c>
      <c r="AE19" s="77">
        <v>0</v>
      </c>
      <c r="AF19" s="77">
        <v>2</v>
      </c>
      <c r="AG19" s="77">
        <v>0</v>
      </c>
      <c r="AH19" s="77">
        <v>0</v>
      </c>
      <c r="AI19" s="306">
        <v>3731</v>
      </c>
      <c r="AJ19" s="77">
        <v>0</v>
      </c>
      <c r="AK19" s="306">
        <v>3726</v>
      </c>
      <c r="AL19" s="306">
        <v>2778</v>
      </c>
      <c r="AM19" s="77">
        <v>0</v>
      </c>
      <c r="AN19" s="77">
        <v>11</v>
      </c>
      <c r="AO19" s="306">
        <v>1386</v>
      </c>
      <c r="AP19" s="77">
        <v>0</v>
      </c>
      <c r="AQ19" s="77">
        <v>510</v>
      </c>
      <c r="AR19" s="77">
        <v>0</v>
      </c>
      <c r="AS19" s="77">
        <v>1</v>
      </c>
      <c r="AT19" s="77">
        <v>3</v>
      </c>
      <c r="AU19" s="77">
        <v>0</v>
      </c>
      <c r="AV19" s="77">
        <v>496</v>
      </c>
      <c r="AW19" s="77">
        <v>0</v>
      </c>
      <c r="AX19" s="77">
        <v>0</v>
      </c>
      <c r="AY19" s="77">
        <v>0</v>
      </c>
      <c r="AZ19" s="77">
        <v>28</v>
      </c>
      <c r="BA19" s="306">
        <v>1058</v>
      </c>
      <c r="BB19" s="77">
        <v>0</v>
      </c>
      <c r="BC19" s="77">
        <v>0</v>
      </c>
    </row>
    <row r="20" spans="1:55" x14ac:dyDescent="0.25">
      <c r="A20" s="77">
        <v>2609</v>
      </c>
      <c r="B20" s="77" t="s">
        <v>1318</v>
      </c>
      <c r="C20" s="306">
        <v>1400</v>
      </c>
      <c r="D20" s="306">
        <v>101532</v>
      </c>
      <c r="E20" s="306">
        <v>82537</v>
      </c>
      <c r="F20" s="306">
        <v>18865</v>
      </c>
      <c r="G20" s="77">
        <v>129</v>
      </c>
      <c r="H20" s="77">
        <v>0</v>
      </c>
      <c r="I20" s="77">
        <v>0</v>
      </c>
      <c r="J20" s="77">
        <v>1</v>
      </c>
      <c r="K20" s="77">
        <v>0</v>
      </c>
      <c r="L20" s="77">
        <v>2</v>
      </c>
      <c r="M20" s="77">
        <v>4</v>
      </c>
      <c r="N20" s="77">
        <v>0</v>
      </c>
      <c r="O20" s="77">
        <v>37</v>
      </c>
      <c r="P20" s="77">
        <v>37</v>
      </c>
      <c r="Q20" s="77">
        <v>0</v>
      </c>
      <c r="R20" s="77">
        <v>4</v>
      </c>
      <c r="S20" s="77">
        <v>0</v>
      </c>
      <c r="T20" s="77">
        <v>0</v>
      </c>
      <c r="U20" s="77">
        <v>5</v>
      </c>
      <c r="V20" s="77">
        <v>2</v>
      </c>
      <c r="W20" s="77">
        <v>30</v>
      </c>
      <c r="X20" s="77">
        <v>0</v>
      </c>
      <c r="Y20" s="77">
        <v>0</v>
      </c>
      <c r="Z20" s="77">
        <v>0</v>
      </c>
      <c r="AA20" s="77">
        <v>4</v>
      </c>
      <c r="AB20" s="77">
        <v>0</v>
      </c>
      <c r="AC20" s="77">
        <v>0</v>
      </c>
      <c r="AD20" s="77">
        <v>1</v>
      </c>
      <c r="AE20" s="77">
        <v>1</v>
      </c>
      <c r="AF20" s="77">
        <v>0</v>
      </c>
      <c r="AG20" s="77">
        <v>31</v>
      </c>
      <c r="AH20" s="77">
        <v>4</v>
      </c>
      <c r="AI20" s="77">
        <v>21</v>
      </c>
      <c r="AJ20" s="77">
        <v>0</v>
      </c>
      <c r="AK20" s="306">
        <v>13849</v>
      </c>
      <c r="AL20" s="77">
        <v>18</v>
      </c>
      <c r="AM20" s="77">
        <v>0</v>
      </c>
      <c r="AN20" s="77">
        <v>10</v>
      </c>
      <c r="AO20" s="77">
        <v>945</v>
      </c>
      <c r="AP20" s="77">
        <v>0</v>
      </c>
      <c r="AQ20" s="306">
        <v>1269</v>
      </c>
      <c r="AR20" s="77">
        <v>223</v>
      </c>
      <c r="AS20" s="77">
        <v>0</v>
      </c>
      <c r="AT20" s="77">
        <v>0</v>
      </c>
      <c r="AU20" s="77">
        <v>114</v>
      </c>
      <c r="AV20" s="77">
        <v>3</v>
      </c>
      <c r="AW20" s="77">
        <v>115</v>
      </c>
      <c r="AX20" s="77">
        <v>0</v>
      </c>
      <c r="AY20" s="77">
        <v>1</v>
      </c>
      <c r="AZ20" s="77">
        <v>20</v>
      </c>
      <c r="BA20" s="306">
        <v>1968</v>
      </c>
      <c r="BB20" s="77">
        <v>0</v>
      </c>
      <c r="BC20" s="77">
        <v>0</v>
      </c>
    </row>
    <row r="21" spans="1:55" x14ac:dyDescent="0.25">
      <c r="A21" s="77">
        <v>2609</v>
      </c>
      <c r="B21" s="77" t="s">
        <v>1319</v>
      </c>
      <c r="C21" s="306">
        <v>1407</v>
      </c>
      <c r="D21" s="306">
        <v>77756</v>
      </c>
      <c r="E21" s="306">
        <v>59890</v>
      </c>
      <c r="F21" s="306">
        <v>17848</v>
      </c>
      <c r="G21" s="77">
        <v>18</v>
      </c>
      <c r="H21" s="77">
        <v>0</v>
      </c>
      <c r="I21" s="77">
        <v>0</v>
      </c>
      <c r="J21" s="77">
        <v>0</v>
      </c>
      <c r="K21" s="77">
        <v>0</v>
      </c>
      <c r="L21" s="77">
        <v>0</v>
      </c>
      <c r="M21" s="77">
        <v>4</v>
      </c>
      <c r="N21" s="77">
        <v>0</v>
      </c>
      <c r="O21" s="77">
        <v>0</v>
      </c>
      <c r="P21" s="77">
        <v>0</v>
      </c>
      <c r="Q21" s="77">
        <v>0</v>
      </c>
      <c r="R21" s="77">
        <v>0</v>
      </c>
      <c r="S21" s="77">
        <v>0</v>
      </c>
      <c r="T21" s="77">
        <v>0</v>
      </c>
      <c r="U21" s="77">
        <v>0</v>
      </c>
      <c r="V21" s="77">
        <v>0</v>
      </c>
      <c r="W21" s="77">
        <v>0</v>
      </c>
      <c r="X21" s="77">
        <v>0</v>
      </c>
      <c r="Y21" s="77">
        <v>0</v>
      </c>
      <c r="Z21" s="77">
        <v>0</v>
      </c>
      <c r="AA21" s="77">
        <v>12</v>
      </c>
      <c r="AB21" s="77">
        <v>0</v>
      </c>
      <c r="AC21" s="77">
        <v>0</v>
      </c>
      <c r="AD21" s="77">
        <v>0</v>
      </c>
      <c r="AE21" s="77">
        <v>1</v>
      </c>
      <c r="AF21" s="77">
        <v>0</v>
      </c>
      <c r="AG21" s="77">
        <v>0</v>
      </c>
      <c r="AH21" s="77">
        <v>0</v>
      </c>
      <c r="AI21" s="306">
        <v>7631</v>
      </c>
      <c r="AJ21" s="77">
        <v>0</v>
      </c>
      <c r="AK21" s="306">
        <v>1240</v>
      </c>
      <c r="AL21" s="306">
        <v>3794</v>
      </c>
      <c r="AM21" s="77">
        <v>0</v>
      </c>
      <c r="AN21" s="77">
        <v>0</v>
      </c>
      <c r="AO21" s="306">
        <v>2556</v>
      </c>
      <c r="AP21" s="77">
        <v>0</v>
      </c>
      <c r="AQ21" s="306">
        <v>1048</v>
      </c>
      <c r="AR21" s="77">
        <v>3</v>
      </c>
      <c r="AS21" s="77">
        <v>0</v>
      </c>
      <c r="AT21" s="77">
        <v>0</v>
      </c>
      <c r="AU21" s="77">
        <v>299</v>
      </c>
      <c r="AV21" s="77">
        <v>0</v>
      </c>
      <c r="AW21" s="77">
        <v>42</v>
      </c>
      <c r="AX21" s="77">
        <v>9</v>
      </c>
      <c r="AY21" s="77">
        <v>0</v>
      </c>
      <c r="AZ21" s="77">
        <v>52</v>
      </c>
      <c r="BA21" s="306">
        <v>1174</v>
      </c>
      <c r="BB21" s="77">
        <v>0</v>
      </c>
      <c r="BC21" s="77">
        <v>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heetViews>
  <sheetFormatPr defaultRowHeight="15" x14ac:dyDescent="0.25"/>
  <cols>
    <col min="1" max="1" width="5" customWidth="1"/>
    <col min="2" max="2" width="36.14062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s>
  <sheetData>
    <row r="1" spans="1:10" x14ac:dyDescent="0.25">
      <c r="A1" t="s">
        <v>420</v>
      </c>
    </row>
    <row r="2" spans="1:10" ht="15.75" thickBot="1" x14ac:dyDescent="0.3"/>
    <row r="3" spans="1:10" ht="15.75" thickBot="1" x14ac:dyDescent="0.3">
      <c r="A3" s="287" t="s">
        <v>1232</v>
      </c>
      <c r="B3" s="288" t="s">
        <v>422</v>
      </c>
      <c r="C3" s="469" t="s">
        <v>423</v>
      </c>
      <c r="D3" s="470"/>
      <c r="E3" s="470"/>
      <c r="F3" s="471"/>
      <c r="G3" s="472" t="s">
        <v>424</v>
      </c>
      <c r="H3" s="470"/>
      <c r="I3" s="470"/>
      <c r="J3" s="473"/>
    </row>
    <row r="4" spans="1:10" ht="15.75" thickBot="1" x14ac:dyDescent="0.3">
      <c r="A4" s="287"/>
      <c r="B4" s="288"/>
      <c r="C4" s="469" t="s">
        <v>425</v>
      </c>
      <c r="D4" s="471"/>
      <c r="E4" s="472" t="s">
        <v>426</v>
      </c>
      <c r="F4" s="470"/>
      <c r="G4" s="470"/>
      <c r="H4" s="471"/>
      <c r="I4" s="472" t="s">
        <v>427</v>
      </c>
      <c r="J4" s="473"/>
    </row>
    <row r="5" spans="1:10" ht="15.75" thickBot="1" x14ac:dyDescent="0.3">
      <c r="A5" s="289"/>
      <c r="B5" s="290"/>
      <c r="C5" s="289" t="s">
        <v>1233</v>
      </c>
      <c r="D5" s="289" t="s">
        <v>429</v>
      </c>
      <c r="E5" s="289" t="s">
        <v>1233</v>
      </c>
      <c r="F5" s="289" t="s">
        <v>429</v>
      </c>
      <c r="G5" s="289" t="s">
        <v>1233</v>
      </c>
      <c r="H5" s="289" t="s">
        <v>429</v>
      </c>
      <c r="I5" s="289" t="s">
        <v>1233</v>
      </c>
      <c r="J5" s="290" t="s">
        <v>429</v>
      </c>
    </row>
    <row r="6" spans="1:10" ht="15.75" thickBot="1" x14ac:dyDescent="0.3">
      <c r="A6" s="291" t="s">
        <v>247</v>
      </c>
      <c r="B6" s="292" t="s">
        <v>430</v>
      </c>
      <c r="C6" s="293"/>
      <c r="D6" s="293"/>
      <c r="E6" s="293"/>
      <c r="F6" s="293"/>
      <c r="G6" s="293">
        <v>263</v>
      </c>
      <c r="H6" s="294">
        <v>79483</v>
      </c>
      <c r="I6" s="293">
        <v>269</v>
      </c>
      <c r="J6" s="294">
        <v>68158</v>
      </c>
    </row>
    <row r="7" spans="1:10" ht="15.75" thickBot="1" x14ac:dyDescent="0.3">
      <c r="A7" s="291" t="s">
        <v>247</v>
      </c>
      <c r="B7" s="292" t="s">
        <v>1234</v>
      </c>
      <c r="C7" s="295"/>
      <c r="D7" s="295"/>
      <c r="E7" s="295"/>
      <c r="F7" s="295"/>
      <c r="G7" s="295">
        <v>57</v>
      </c>
      <c r="H7" s="296">
        <v>109759</v>
      </c>
      <c r="I7" s="295">
        <v>54</v>
      </c>
      <c r="J7" s="296">
        <v>107428</v>
      </c>
    </row>
    <row r="8" spans="1:10" ht="15.75" thickBot="1" x14ac:dyDescent="0.3">
      <c r="A8" s="291" t="s">
        <v>247</v>
      </c>
      <c r="B8" s="292" t="s">
        <v>1235</v>
      </c>
      <c r="C8" s="293"/>
      <c r="D8" s="293"/>
      <c r="E8" s="293"/>
      <c r="F8" s="293"/>
      <c r="G8" s="293">
        <v>12</v>
      </c>
      <c r="H8" s="294">
        <v>53647</v>
      </c>
      <c r="I8" s="293">
        <v>5</v>
      </c>
      <c r="J8" s="294">
        <v>61790</v>
      </c>
    </row>
    <row r="9" spans="1:10" ht="15.75" thickBot="1" x14ac:dyDescent="0.3">
      <c r="A9" s="291" t="s">
        <v>247</v>
      </c>
      <c r="B9" s="292" t="s">
        <v>1236</v>
      </c>
      <c r="C9" s="295"/>
      <c r="D9" s="295"/>
      <c r="E9" s="295"/>
      <c r="F9" s="295"/>
      <c r="G9" s="295">
        <v>90</v>
      </c>
      <c r="H9" s="296">
        <v>147374</v>
      </c>
      <c r="I9" s="295">
        <v>61</v>
      </c>
      <c r="J9" s="296">
        <v>47210</v>
      </c>
    </row>
    <row r="10" spans="1:10" ht="15.75" thickBot="1" x14ac:dyDescent="0.3">
      <c r="A10" s="291" t="s">
        <v>247</v>
      </c>
      <c r="B10" s="292" t="s">
        <v>1237</v>
      </c>
      <c r="C10" s="293"/>
      <c r="D10" s="293"/>
      <c r="E10" s="293"/>
      <c r="F10" s="293"/>
      <c r="G10" s="293">
        <v>37</v>
      </c>
      <c r="H10" s="294">
        <v>56209</v>
      </c>
      <c r="I10" s="293">
        <v>57</v>
      </c>
      <c r="J10" s="294">
        <v>107796</v>
      </c>
    </row>
    <row r="11" spans="1:10" ht="15.75" thickBot="1" x14ac:dyDescent="0.3">
      <c r="A11" s="291" t="s">
        <v>247</v>
      </c>
      <c r="B11" s="292" t="s">
        <v>432</v>
      </c>
      <c r="C11" s="295"/>
      <c r="D11" s="295"/>
      <c r="E11" s="295"/>
      <c r="F11" s="295"/>
      <c r="G11" s="295">
        <v>63</v>
      </c>
      <c r="H11" s="296">
        <v>84907</v>
      </c>
      <c r="I11" s="295">
        <v>91</v>
      </c>
      <c r="J11" s="296">
        <v>115882</v>
      </c>
    </row>
    <row r="12" spans="1:10" ht="15.75" thickBot="1" x14ac:dyDescent="0.3">
      <c r="A12" s="291" t="s">
        <v>247</v>
      </c>
      <c r="B12" s="292" t="s">
        <v>1238</v>
      </c>
      <c r="C12" s="293"/>
      <c r="D12" s="293"/>
      <c r="E12" s="293"/>
      <c r="F12" s="293"/>
      <c r="G12" s="293">
        <v>195</v>
      </c>
      <c r="H12" s="294">
        <v>89650</v>
      </c>
      <c r="I12" s="293">
        <v>205</v>
      </c>
      <c r="J12" s="294">
        <v>178819</v>
      </c>
    </row>
    <row r="13" spans="1:10" ht="15.75" thickBot="1" x14ac:dyDescent="0.3">
      <c r="A13" s="291" t="s">
        <v>247</v>
      </c>
      <c r="B13" s="292" t="s">
        <v>1239</v>
      </c>
      <c r="C13" s="295"/>
      <c r="D13" s="295"/>
      <c r="E13" s="295"/>
      <c r="F13" s="295"/>
      <c r="G13" s="295">
        <v>48</v>
      </c>
      <c r="H13" s="296">
        <v>88907</v>
      </c>
      <c r="I13" s="295">
        <v>70</v>
      </c>
      <c r="J13" s="296">
        <v>64501</v>
      </c>
    </row>
    <row r="14" spans="1:10" ht="15.75" thickBot="1" x14ac:dyDescent="0.3">
      <c r="A14" s="291" t="s">
        <v>247</v>
      </c>
      <c r="B14" s="292" t="s">
        <v>1240</v>
      </c>
      <c r="C14" s="293"/>
      <c r="D14" s="293"/>
      <c r="E14" s="293"/>
      <c r="F14" s="293"/>
      <c r="G14" s="293"/>
      <c r="H14" s="293"/>
      <c r="I14" s="293">
        <v>1</v>
      </c>
      <c r="J14" s="294">
        <v>148143</v>
      </c>
    </row>
    <row r="15" spans="1:10" ht="15.75" thickBot="1" x14ac:dyDescent="0.3">
      <c r="A15" s="291" t="s">
        <v>247</v>
      </c>
      <c r="B15" s="292" t="s">
        <v>433</v>
      </c>
      <c r="C15" s="295"/>
      <c r="D15" s="295"/>
      <c r="E15" s="295"/>
      <c r="F15" s="295"/>
      <c r="G15" s="295">
        <v>111</v>
      </c>
      <c r="H15" s="296">
        <v>67009</v>
      </c>
      <c r="I15" s="295">
        <v>230</v>
      </c>
      <c r="J15" s="296">
        <v>82370</v>
      </c>
    </row>
    <row r="16" spans="1:10" ht="15.75" thickBot="1" x14ac:dyDescent="0.3">
      <c r="A16" s="291" t="s">
        <v>247</v>
      </c>
      <c r="B16" s="292" t="s">
        <v>434</v>
      </c>
      <c r="C16" s="293"/>
      <c r="D16" s="293"/>
      <c r="E16" s="293"/>
      <c r="F16" s="293"/>
      <c r="G16" s="293">
        <v>142</v>
      </c>
      <c r="H16" s="294">
        <v>100972</v>
      </c>
      <c r="I16" s="293">
        <v>4</v>
      </c>
      <c r="J16" s="294">
        <v>60720</v>
      </c>
    </row>
    <row r="17" spans="1:10" ht="15.75" thickBot="1" x14ac:dyDescent="0.3">
      <c r="A17" s="291" t="s">
        <v>247</v>
      </c>
      <c r="B17" s="292" t="s">
        <v>436</v>
      </c>
      <c r="C17" s="295"/>
      <c r="D17" s="295"/>
      <c r="E17" s="295"/>
      <c r="F17" s="295"/>
      <c r="G17" s="295">
        <v>47</v>
      </c>
      <c r="H17" s="296">
        <v>64468</v>
      </c>
      <c r="I17" s="295">
        <v>122</v>
      </c>
      <c r="J17" s="296">
        <v>64015</v>
      </c>
    </row>
    <row r="18" spans="1:10" ht="15.75" thickBot="1" x14ac:dyDescent="0.3">
      <c r="A18" s="291" t="s">
        <v>247</v>
      </c>
      <c r="B18" s="292" t="s">
        <v>437</v>
      </c>
      <c r="C18" s="293"/>
      <c r="D18" s="293"/>
      <c r="E18" s="293"/>
      <c r="F18" s="293"/>
      <c r="G18" s="293"/>
      <c r="H18" s="293"/>
      <c r="I18" s="293">
        <v>44</v>
      </c>
      <c r="J18" s="294">
        <v>75081</v>
      </c>
    </row>
    <row r="19" spans="1:10" ht="15.75" thickBot="1" x14ac:dyDescent="0.3">
      <c r="A19" s="291" t="s">
        <v>247</v>
      </c>
      <c r="B19" s="292" t="s">
        <v>176</v>
      </c>
      <c r="C19" s="295"/>
      <c r="D19" s="295"/>
      <c r="E19" s="295"/>
      <c r="F19" s="295"/>
      <c r="G19" s="295">
        <v>82</v>
      </c>
      <c r="H19" s="296">
        <v>53946</v>
      </c>
      <c r="I19" s="295">
        <v>82</v>
      </c>
      <c r="J19" s="296">
        <v>59196</v>
      </c>
    </row>
    <row r="20" spans="1:10" ht="15.75" thickBot="1" x14ac:dyDescent="0.3">
      <c r="A20" s="291" t="s">
        <v>247</v>
      </c>
      <c r="B20" s="292" t="s">
        <v>441</v>
      </c>
      <c r="C20" s="293"/>
      <c r="D20" s="293"/>
      <c r="E20" s="293"/>
      <c r="F20" s="293"/>
      <c r="G20" s="293">
        <v>129</v>
      </c>
      <c r="H20" s="294">
        <v>45196</v>
      </c>
      <c r="I20" s="293">
        <v>219</v>
      </c>
      <c r="J20" s="294">
        <v>45695</v>
      </c>
    </row>
    <row r="21" spans="1:10" ht="15.75" thickBot="1" x14ac:dyDescent="0.3">
      <c r="A21" s="291" t="s">
        <v>247</v>
      </c>
      <c r="B21" s="292" t="s">
        <v>1246</v>
      </c>
      <c r="C21" s="295"/>
      <c r="D21" s="295"/>
      <c r="E21" s="295"/>
      <c r="F21" s="295"/>
      <c r="G21" s="295">
        <v>2</v>
      </c>
      <c r="H21" s="296">
        <v>195242</v>
      </c>
      <c r="I21" s="295">
        <v>7</v>
      </c>
      <c r="J21" s="296">
        <v>124522</v>
      </c>
    </row>
    <row r="22" spans="1:10" ht="15.75" thickBot="1" x14ac:dyDescent="0.3">
      <c r="A22" s="297" t="s">
        <v>247</v>
      </c>
      <c r="B22" s="295" t="s">
        <v>125</v>
      </c>
      <c r="C22" s="293"/>
      <c r="D22" s="293"/>
      <c r="E22" s="293"/>
      <c r="F22" s="293"/>
      <c r="G22" s="294">
        <v>1278</v>
      </c>
      <c r="H22" s="294">
        <v>82704</v>
      </c>
      <c r="I22" s="294">
        <v>1521</v>
      </c>
      <c r="J22" s="294">
        <v>86370</v>
      </c>
    </row>
  </sheetData>
  <mergeCells count="5">
    <mergeCell ref="C3:F3"/>
    <mergeCell ref="G3:J3"/>
    <mergeCell ref="C4:D4"/>
    <mergeCell ref="E4:H4"/>
    <mergeCell ref="I4:J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K33" sqref="K33"/>
    </sheetView>
  </sheetViews>
  <sheetFormatPr defaultRowHeight="15" x14ac:dyDescent="0.25"/>
  <cols>
    <col min="1" max="1" width="5" customWidth="1"/>
    <col min="2" max="2" width="36.14062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s>
  <sheetData>
    <row r="1" spans="1:10" x14ac:dyDescent="0.25">
      <c r="A1" t="s">
        <v>420</v>
      </c>
    </row>
    <row r="2" spans="1:10" ht="15.75" thickBot="1" x14ac:dyDescent="0.3"/>
    <row r="3" spans="1:10" ht="15.75" thickBot="1" x14ac:dyDescent="0.3">
      <c r="A3" s="287" t="s">
        <v>1232</v>
      </c>
      <c r="B3" s="288" t="s">
        <v>422</v>
      </c>
      <c r="C3" s="469" t="s">
        <v>423</v>
      </c>
      <c r="D3" s="470"/>
      <c r="E3" s="470"/>
      <c r="F3" s="471"/>
      <c r="G3" s="472" t="s">
        <v>424</v>
      </c>
      <c r="H3" s="470"/>
      <c r="I3" s="470"/>
      <c r="J3" s="473"/>
    </row>
    <row r="4" spans="1:10" ht="15.75" thickBot="1" x14ac:dyDescent="0.3">
      <c r="A4" s="287"/>
      <c r="B4" s="288"/>
      <c r="C4" s="469" t="s">
        <v>425</v>
      </c>
      <c r="D4" s="471"/>
      <c r="E4" s="472" t="s">
        <v>426</v>
      </c>
      <c r="F4" s="470"/>
      <c r="G4" s="470"/>
      <c r="H4" s="471"/>
      <c r="I4" s="472" t="s">
        <v>427</v>
      </c>
      <c r="J4" s="473"/>
    </row>
    <row r="5" spans="1:10" ht="15.75" thickBot="1" x14ac:dyDescent="0.3">
      <c r="A5" s="289"/>
      <c r="B5" s="290"/>
      <c r="C5" s="289" t="s">
        <v>1233</v>
      </c>
      <c r="D5" s="289" t="s">
        <v>429</v>
      </c>
      <c r="E5" s="289" t="s">
        <v>1233</v>
      </c>
      <c r="F5" s="289" t="s">
        <v>429</v>
      </c>
      <c r="G5" s="289" t="s">
        <v>1233</v>
      </c>
      <c r="H5" s="289" t="s">
        <v>429</v>
      </c>
      <c r="I5" s="289" t="s">
        <v>1233</v>
      </c>
      <c r="J5" s="290" t="s">
        <v>429</v>
      </c>
    </row>
    <row r="6" spans="1:10" ht="15.75" thickBot="1" x14ac:dyDescent="0.3">
      <c r="A6" s="291" t="s">
        <v>251</v>
      </c>
      <c r="B6" s="292" t="s">
        <v>430</v>
      </c>
      <c r="C6" s="293"/>
      <c r="D6" s="293"/>
      <c r="E6" s="293">
        <v>112</v>
      </c>
      <c r="F6" s="294">
        <v>83384</v>
      </c>
      <c r="G6" s="293">
        <v>107</v>
      </c>
      <c r="H6" s="294">
        <v>66918</v>
      </c>
      <c r="I6" s="293">
        <v>135</v>
      </c>
      <c r="J6" s="294">
        <v>55511</v>
      </c>
    </row>
    <row r="7" spans="1:10" ht="15.75" thickBot="1" x14ac:dyDescent="0.3">
      <c r="A7" s="291" t="s">
        <v>251</v>
      </c>
      <c r="B7" s="292" t="s">
        <v>1234</v>
      </c>
      <c r="C7" s="295"/>
      <c r="D7" s="295"/>
      <c r="E7" s="295"/>
      <c r="F7" s="295"/>
      <c r="G7" s="295">
        <v>51</v>
      </c>
      <c r="H7" s="296">
        <v>95301</v>
      </c>
      <c r="I7" s="295">
        <v>85</v>
      </c>
      <c r="J7" s="296">
        <v>88018</v>
      </c>
    </row>
    <row r="8" spans="1:10" ht="15.75" thickBot="1" x14ac:dyDescent="0.3">
      <c r="A8" s="291" t="s">
        <v>251</v>
      </c>
      <c r="B8" s="292" t="s">
        <v>1235</v>
      </c>
      <c r="C8" s="293"/>
      <c r="D8" s="293"/>
      <c r="E8" s="293">
        <v>23</v>
      </c>
      <c r="F8" s="294">
        <v>97984</v>
      </c>
      <c r="G8" s="293">
        <v>12</v>
      </c>
      <c r="H8" s="294">
        <v>65550</v>
      </c>
      <c r="I8" s="293">
        <v>2</v>
      </c>
      <c r="J8" s="294">
        <v>40567</v>
      </c>
    </row>
    <row r="9" spans="1:10" ht="15.75" thickBot="1" x14ac:dyDescent="0.3">
      <c r="A9" s="291" t="s">
        <v>251</v>
      </c>
      <c r="B9" s="292" t="s">
        <v>1236</v>
      </c>
      <c r="C9" s="295"/>
      <c r="D9" s="295"/>
      <c r="E9" s="295"/>
      <c r="F9" s="295"/>
      <c r="G9" s="295">
        <v>23</v>
      </c>
      <c r="H9" s="296">
        <v>58689</v>
      </c>
      <c r="I9" s="295">
        <v>31</v>
      </c>
      <c r="J9" s="296">
        <v>38095</v>
      </c>
    </row>
    <row r="10" spans="1:10" ht="15.75" thickBot="1" x14ac:dyDescent="0.3">
      <c r="A10" s="291" t="s">
        <v>251</v>
      </c>
      <c r="B10" s="292" t="s">
        <v>1237</v>
      </c>
      <c r="C10" s="293"/>
      <c r="D10" s="293"/>
      <c r="E10" s="293"/>
      <c r="F10" s="293"/>
      <c r="G10" s="293">
        <v>20</v>
      </c>
      <c r="H10" s="294">
        <v>44991</v>
      </c>
      <c r="I10" s="293">
        <v>21</v>
      </c>
      <c r="J10" s="294">
        <v>63798</v>
      </c>
    </row>
    <row r="11" spans="1:10" ht="15.75" thickBot="1" x14ac:dyDescent="0.3">
      <c r="A11" s="291" t="s">
        <v>251</v>
      </c>
      <c r="B11" s="292" t="s">
        <v>432</v>
      </c>
      <c r="C11" s="295"/>
      <c r="D11" s="295"/>
      <c r="E11" s="295">
        <v>41</v>
      </c>
      <c r="F11" s="296">
        <v>68507</v>
      </c>
      <c r="G11" s="295">
        <v>44</v>
      </c>
      <c r="H11" s="296">
        <v>73308</v>
      </c>
      <c r="I11" s="295">
        <v>39</v>
      </c>
      <c r="J11" s="296">
        <v>91113</v>
      </c>
    </row>
    <row r="12" spans="1:10" ht="15.75" thickBot="1" x14ac:dyDescent="0.3">
      <c r="A12" s="291" t="s">
        <v>251</v>
      </c>
      <c r="B12" s="292" t="s">
        <v>1238</v>
      </c>
      <c r="C12" s="293"/>
      <c r="D12" s="293"/>
      <c r="E12" s="293">
        <v>116</v>
      </c>
      <c r="F12" s="294">
        <v>86854</v>
      </c>
      <c r="G12" s="293">
        <v>129</v>
      </c>
      <c r="H12" s="294">
        <v>89383</v>
      </c>
      <c r="I12" s="293">
        <v>155</v>
      </c>
      <c r="J12" s="294">
        <v>104846</v>
      </c>
    </row>
    <row r="13" spans="1:10" ht="15.75" thickBot="1" x14ac:dyDescent="0.3">
      <c r="A13" s="291" t="s">
        <v>251</v>
      </c>
      <c r="B13" s="292" t="s">
        <v>1239</v>
      </c>
      <c r="C13" s="295"/>
      <c r="D13" s="295"/>
      <c r="E13" s="295">
        <v>33</v>
      </c>
      <c r="F13" s="296">
        <v>93065</v>
      </c>
      <c r="G13" s="295">
        <v>46</v>
      </c>
      <c r="H13" s="296">
        <v>60212</v>
      </c>
      <c r="I13" s="295">
        <v>74</v>
      </c>
      <c r="J13" s="296">
        <v>57292</v>
      </c>
    </row>
    <row r="14" spans="1:10" ht="15.75" thickBot="1" x14ac:dyDescent="0.3">
      <c r="A14" s="291" t="s">
        <v>251</v>
      </c>
      <c r="B14" s="292" t="s">
        <v>433</v>
      </c>
      <c r="C14" s="293"/>
      <c r="D14" s="293"/>
      <c r="E14" s="293">
        <v>76</v>
      </c>
      <c r="F14" s="294">
        <v>42938</v>
      </c>
      <c r="G14" s="293">
        <v>80</v>
      </c>
      <c r="H14" s="294">
        <v>49576</v>
      </c>
      <c r="I14" s="293">
        <v>216</v>
      </c>
      <c r="J14" s="294">
        <v>70606</v>
      </c>
    </row>
    <row r="15" spans="1:10" ht="15.75" thickBot="1" x14ac:dyDescent="0.3">
      <c r="A15" s="291" t="s">
        <v>251</v>
      </c>
      <c r="B15" s="292" t="s">
        <v>434</v>
      </c>
      <c r="C15" s="295"/>
      <c r="D15" s="295"/>
      <c r="E15" s="295">
        <v>57</v>
      </c>
      <c r="F15" s="296">
        <v>47904</v>
      </c>
      <c r="G15" s="295">
        <v>119</v>
      </c>
      <c r="H15" s="296">
        <v>95083</v>
      </c>
      <c r="I15" s="295">
        <v>4</v>
      </c>
      <c r="J15" s="296">
        <v>71456</v>
      </c>
    </row>
    <row r="16" spans="1:10" ht="15.75" thickBot="1" x14ac:dyDescent="0.3">
      <c r="A16" s="291" t="s">
        <v>251</v>
      </c>
      <c r="B16" s="292" t="s">
        <v>436</v>
      </c>
      <c r="C16" s="295"/>
      <c r="D16" s="295"/>
      <c r="E16" s="295">
        <v>24</v>
      </c>
      <c r="F16" s="296">
        <v>51585</v>
      </c>
      <c r="G16" s="295">
        <v>31</v>
      </c>
      <c r="H16" s="296">
        <v>61161</v>
      </c>
      <c r="I16" s="295">
        <v>64</v>
      </c>
      <c r="J16" s="296">
        <v>56268</v>
      </c>
    </row>
    <row r="17" spans="1:10" ht="15.75" thickBot="1" x14ac:dyDescent="0.3">
      <c r="A17" s="291" t="s">
        <v>251</v>
      </c>
      <c r="B17" s="292" t="s">
        <v>437</v>
      </c>
      <c r="C17" s="293"/>
      <c r="D17" s="293"/>
      <c r="E17" s="293">
        <v>53</v>
      </c>
      <c r="F17" s="294">
        <v>33858</v>
      </c>
      <c r="G17" s="293"/>
      <c r="H17" s="293"/>
      <c r="I17" s="293">
        <v>20</v>
      </c>
      <c r="J17" s="294">
        <v>50289</v>
      </c>
    </row>
    <row r="18" spans="1:10" ht="15.75" thickBot="1" x14ac:dyDescent="0.3">
      <c r="A18" s="291" t="s">
        <v>251</v>
      </c>
      <c r="B18" s="292" t="s">
        <v>176</v>
      </c>
      <c r="C18" s="293"/>
      <c r="D18" s="293"/>
      <c r="E18" s="293"/>
      <c r="F18" s="293"/>
      <c r="G18" s="293">
        <v>102</v>
      </c>
      <c r="H18" s="294">
        <v>60123</v>
      </c>
      <c r="I18" s="293">
        <v>74</v>
      </c>
      <c r="J18" s="294">
        <v>54884</v>
      </c>
    </row>
    <row r="19" spans="1:10" ht="15.75" thickBot="1" x14ac:dyDescent="0.3">
      <c r="A19" s="291" t="s">
        <v>251</v>
      </c>
      <c r="B19" s="292" t="s">
        <v>441</v>
      </c>
      <c r="C19" s="295"/>
      <c r="D19" s="295"/>
      <c r="E19" s="295">
        <v>39</v>
      </c>
      <c r="F19" s="296">
        <v>26428</v>
      </c>
      <c r="G19" s="295">
        <v>91</v>
      </c>
      <c r="H19" s="296">
        <v>37252</v>
      </c>
      <c r="I19" s="295">
        <v>120</v>
      </c>
      <c r="J19" s="296">
        <v>41666</v>
      </c>
    </row>
    <row r="20" spans="1:10" ht="15.75" thickBot="1" x14ac:dyDescent="0.3">
      <c r="A20" s="291" t="s">
        <v>251</v>
      </c>
      <c r="B20" s="292" t="s">
        <v>442</v>
      </c>
      <c r="C20" s="293"/>
      <c r="D20" s="293"/>
      <c r="E20" s="293">
        <v>12</v>
      </c>
      <c r="F20" s="294">
        <v>36612</v>
      </c>
      <c r="G20" s="293"/>
      <c r="H20" s="293"/>
      <c r="I20" s="293"/>
      <c r="J20" s="293"/>
    </row>
    <row r="21" spans="1:10" ht="15.75" thickBot="1" x14ac:dyDescent="0.3">
      <c r="A21" s="291" t="s">
        <v>251</v>
      </c>
      <c r="B21" s="292" t="s">
        <v>1246</v>
      </c>
      <c r="C21" s="295"/>
      <c r="D21" s="295"/>
      <c r="E21" s="295">
        <v>7</v>
      </c>
      <c r="F21" s="296">
        <v>75615</v>
      </c>
      <c r="G21" s="295">
        <v>2</v>
      </c>
      <c r="H21" s="296">
        <v>168399</v>
      </c>
      <c r="I21" s="295"/>
      <c r="J21" s="295"/>
    </row>
    <row r="22" spans="1:10" ht="15.75" thickBot="1" x14ac:dyDescent="0.3">
      <c r="A22" s="297" t="s">
        <v>251</v>
      </c>
      <c r="B22" s="295" t="s">
        <v>125</v>
      </c>
      <c r="C22" s="293"/>
      <c r="D22" s="293"/>
      <c r="E22" s="293">
        <v>671</v>
      </c>
      <c r="F22" s="294">
        <v>61252</v>
      </c>
      <c r="G22" s="293">
        <v>857</v>
      </c>
      <c r="H22" s="294">
        <v>69567</v>
      </c>
      <c r="I22" s="294">
        <v>1040</v>
      </c>
      <c r="J22" s="294">
        <v>68102</v>
      </c>
    </row>
  </sheetData>
  <mergeCells count="5">
    <mergeCell ref="C3:F3"/>
    <mergeCell ref="G3:J3"/>
    <mergeCell ref="C4:D4"/>
    <mergeCell ref="E4:H4"/>
    <mergeCell ref="I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8"/>
  <sheetViews>
    <sheetView zoomScale="85" zoomScaleNormal="85" workbookViewId="0">
      <pane ySplit="1" topLeftCell="A2" activePane="bottomLeft" state="frozen"/>
      <selection pane="bottomLeft" activeCell="A2" sqref="A2"/>
    </sheetView>
  </sheetViews>
  <sheetFormatPr defaultRowHeight="15" x14ac:dyDescent="0.25"/>
  <cols>
    <col min="1" max="1" width="3.42578125" style="1" bestFit="1" customWidth="1"/>
    <col min="2" max="2" width="7.85546875" style="1" bestFit="1" customWidth="1"/>
    <col min="3" max="4" width="10.7109375" style="1" bestFit="1" customWidth="1"/>
    <col min="5" max="5" width="23.85546875" style="1" customWidth="1"/>
    <col min="6" max="7" width="10.7109375" style="1" bestFit="1" customWidth="1"/>
    <col min="8" max="8" width="18.140625" style="1" customWidth="1"/>
    <col min="9" max="9" width="77.140625" style="1" customWidth="1"/>
    <col min="10" max="10" width="18.140625" style="1" customWidth="1"/>
    <col min="11" max="11" width="37.28515625" style="1" customWidth="1"/>
    <col min="12" max="13" width="18.140625" style="1" customWidth="1"/>
    <col min="14" max="16384" width="9.140625" style="1"/>
  </cols>
  <sheetData>
    <row r="1" spans="1:13" ht="29.25" customHeight="1" x14ac:dyDescent="0.25">
      <c r="A1" s="240" t="s">
        <v>2</v>
      </c>
      <c r="B1" s="240" t="s">
        <v>3</v>
      </c>
      <c r="C1" s="240" t="s">
        <v>13</v>
      </c>
      <c r="D1" s="240" t="s">
        <v>14</v>
      </c>
      <c r="E1" s="240" t="s">
        <v>0</v>
      </c>
      <c r="F1" s="240" t="s">
        <v>10</v>
      </c>
      <c r="G1" s="240" t="s">
        <v>1</v>
      </c>
      <c r="H1" s="240" t="s">
        <v>4</v>
      </c>
      <c r="I1" s="240" t="s">
        <v>5</v>
      </c>
      <c r="J1" s="240" t="s">
        <v>6</v>
      </c>
      <c r="K1" s="240" t="s">
        <v>7</v>
      </c>
      <c r="L1" s="240" t="s">
        <v>8</v>
      </c>
      <c r="M1" s="240" t="s">
        <v>9</v>
      </c>
    </row>
    <row r="2" spans="1:13" ht="45" x14ac:dyDescent="0.25">
      <c r="A2" s="3" t="s">
        <v>1020</v>
      </c>
      <c r="B2" s="3">
        <v>1</v>
      </c>
      <c r="C2" s="3" t="s">
        <v>1043</v>
      </c>
      <c r="D2" s="3" t="s">
        <v>1043</v>
      </c>
      <c r="E2" s="3" t="s">
        <v>1044</v>
      </c>
      <c r="F2" s="13">
        <v>197348</v>
      </c>
      <c r="G2" s="13">
        <v>155660</v>
      </c>
      <c r="H2" s="402" t="s">
        <v>1022</v>
      </c>
      <c r="I2" s="403" t="s">
        <v>1063</v>
      </c>
      <c r="J2" s="404"/>
      <c r="K2" s="479" t="s">
        <v>1132</v>
      </c>
      <c r="L2" s="480" t="s">
        <v>1822</v>
      </c>
      <c r="M2" s="479" t="s">
        <v>1862</v>
      </c>
    </row>
    <row r="3" spans="1:13" ht="30" x14ac:dyDescent="0.25">
      <c r="A3" s="3" t="s">
        <v>1020</v>
      </c>
      <c r="B3" s="3">
        <v>2</v>
      </c>
      <c r="C3" s="3" t="s">
        <v>1043</v>
      </c>
      <c r="D3" s="3" t="s">
        <v>1045</v>
      </c>
      <c r="E3" s="3" t="s">
        <v>1046</v>
      </c>
      <c r="F3" s="13">
        <v>171950</v>
      </c>
      <c r="G3" s="13">
        <v>155660</v>
      </c>
      <c r="H3" s="402"/>
      <c r="I3" s="403"/>
      <c r="J3" s="405"/>
      <c r="K3" s="481"/>
      <c r="L3" s="482"/>
      <c r="M3" s="481"/>
    </row>
    <row r="4" spans="1:13" ht="30" x14ac:dyDescent="0.25">
      <c r="A4" s="3" t="s">
        <v>1020</v>
      </c>
      <c r="B4" s="3">
        <v>3</v>
      </c>
      <c r="C4" s="3" t="s">
        <v>1047</v>
      </c>
      <c r="D4" s="3" t="s">
        <v>1047</v>
      </c>
      <c r="E4" s="3" t="s">
        <v>1048</v>
      </c>
      <c r="F4" s="13">
        <v>196093</v>
      </c>
      <c r="G4" s="13">
        <v>61482</v>
      </c>
      <c r="H4" s="402"/>
      <c r="I4" s="403"/>
      <c r="J4" s="405"/>
      <c r="K4" s="481"/>
      <c r="L4" s="482"/>
      <c r="M4" s="481"/>
    </row>
    <row r="5" spans="1:13" ht="30" x14ac:dyDescent="0.25">
      <c r="A5" s="3" t="s">
        <v>1020</v>
      </c>
      <c r="B5" s="3">
        <v>4</v>
      </c>
      <c r="C5" s="3" t="s">
        <v>1049</v>
      </c>
      <c r="D5" s="3" t="s">
        <v>1049</v>
      </c>
      <c r="E5" s="3" t="s">
        <v>1050</v>
      </c>
      <c r="F5" s="13">
        <v>144344</v>
      </c>
      <c r="G5" s="13">
        <v>61482</v>
      </c>
      <c r="H5" s="402"/>
      <c r="I5" s="403"/>
      <c r="J5" s="405"/>
      <c r="K5" s="481"/>
      <c r="L5" s="482"/>
      <c r="M5" s="481"/>
    </row>
    <row r="6" spans="1:13" ht="45" x14ac:dyDescent="0.25">
      <c r="A6" s="3" t="s">
        <v>1020</v>
      </c>
      <c r="B6" s="3">
        <v>5</v>
      </c>
      <c r="C6" s="3" t="s">
        <v>1051</v>
      </c>
      <c r="D6" s="3" t="s">
        <v>1051</v>
      </c>
      <c r="E6" s="3" t="s">
        <v>1052</v>
      </c>
      <c r="F6" s="13">
        <v>134071</v>
      </c>
      <c r="G6" s="13">
        <v>61482</v>
      </c>
      <c r="H6" s="402"/>
      <c r="I6" s="403"/>
      <c r="J6" s="405"/>
      <c r="K6" s="481"/>
      <c r="L6" s="482"/>
      <c r="M6" s="481"/>
    </row>
    <row r="7" spans="1:13" ht="30" x14ac:dyDescent="0.25">
      <c r="A7" s="3" t="s">
        <v>1020</v>
      </c>
      <c r="B7" s="3">
        <v>6</v>
      </c>
      <c r="C7" s="3" t="s">
        <v>1053</v>
      </c>
      <c r="D7" s="3" t="s">
        <v>1053</v>
      </c>
      <c r="E7" s="3" t="s">
        <v>1054</v>
      </c>
      <c r="F7" s="13">
        <v>26289</v>
      </c>
      <c r="G7" s="13">
        <v>21164</v>
      </c>
      <c r="H7" s="402"/>
      <c r="I7" s="403"/>
      <c r="J7" s="405"/>
      <c r="K7" s="481"/>
      <c r="L7" s="482"/>
      <c r="M7" s="481"/>
    </row>
    <row r="8" spans="1:13" ht="45" x14ac:dyDescent="0.25">
      <c r="A8" s="3" t="s">
        <v>1020</v>
      </c>
      <c r="B8" s="3">
        <v>7</v>
      </c>
      <c r="C8" s="3" t="s">
        <v>1055</v>
      </c>
      <c r="D8" s="3" t="s">
        <v>1055</v>
      </c>
      <c r="E8" s="3" t="s">
        <v>1056</v>
      </c>
      <c r="F8" s="13">
        <v>16010</v>
      </c>
      <c r="G8" s="13">
        <v>12008</v>
      </c>
      <c r="H8" s="402"/>
      <c r="I8" s="403"/>
      <c r="J8" s="405"/>
      <c r="K8" s="481"/>
      <c r="L8" s="482"/>
      <c r="M8" s="481"/>
    </row>
    <row r="9" spans="1:13" ht="45" x14ac:dyDescent="0.25">
      <c r="A9" s="3" t="s">
        <v>1020</v>
      </c>
      <c r="B9" s="3">
        <v>8</v>
      </c>
      <c r="C9" s="3" t="s">
        <v>1057</v>
      </c>
      <c r="D9" s="3" t="s">
        <v>1057</v>
      </c>
      <c r="E9" s="3" t="s">
        <v>1058</v>
      </c>
      <c r="F9" s="13">
        <v>18109</v>
      </c>
      <c r="G9" s="13">
        <v>17673</v>
      </c>
      <c r="H9" s="402"/>
      <c r="I9" s="403"/>
      <c r="J9" s="405"/>
      <c r="K9" s="481"/>
      <c r="L9" s="482"/>
      <c r="M9" s="481"/>
    </row>
    <row r="10" spans="1:13" ht="30" x14ac:dyDescent="0.25">
      <c r="A10" s="3" t="s">
        <v>1020</v>
      </c>
      <c r="B10" s="3">
        <v>9</v>
      </c>
      <c r="C10" s="3" t="s">
        <v>188</v>
      </c>
      <c r="D10" s="3" t="s">
        <v>188</v>
      </c>
      <c r="E10" s="3" t="s">
        <v>189</v>
      </c>
      <c r="F10" s="13">
        <v>65083</v>
      </c>
      <c r="G10" s="13">
        <v>18526</v>
      </c>
      <c r="H10" s="402"/>
      <c r="I10" s="403"/>
      <c r="J10" s="405"/>
      <c r="K10" s="481"/>
      <c r="L10" s="482"/>
      <c r="M10" s="481"/>
    </row>
    <row r="11" spans="1:13" x14ac:dyDescent="0.25">
      <c r="A11" s="3" t="s">
        <v>1020</v>
      </c>
      <c r="B11" s="3">
        <v>10</v>
      </c>
      <c r="C11" s="3" t="s">
        <v>191</v>
      </c>
      <c r="D11" s="3" t="s">
        <v>191</v>
      </c>
      <c r="E11" s="3" t="s">
        <v>192</v>
      </c>
      <c r="F11" s="13">
        <v>74508</v>
      </c>
      <c r="G11" s="13">
        <v>20728</v>
      </c>
      <c r="H11" s="402"/>
      <c r="I11" s="403"/>
      <c r="J11" s="405"/>
      <c r="K11" s="481"/>
      <c r="L11" s="482"/>
      <c r="M11" s="481"/>
    </row>
    <row r="12" spans="1:13" ht="30" x14ac:dyDescent="0.25">
      <c r="A12" s="3" t="s">
        <v>1020</v>
      </c>
      <c r="B12" s="3">
        <v>11</v>
      </c>
      <c r="C12" s="3" t="s">
        <v>1059</v>
      </c>
      <c r="D12" s="3" t="s">
        <v>1059</v>
      </c>
      <c r="E12" s="3" t="s">
        <v>1060</v>
      </c>
      <c r="F12" s="13">
        <v>81958</v>
      </c>
      <c r="G12" s="13">
        <v>79168</v>
      </c>
      <c r="H12" s="402"/>
      <c r="I12" s="403"/>
      <c r="J12" s="405"/>
      <c r="K12" s="481"/>
      <c r="L12" s="482"/>
      <c r="M12" s="481"/>
    </row>
    <row r="13" spans="1:13" ht="30" x14ac:dyDescent="0.25">
      <c r="A13" s="3" t="s">
        <v>1020</v>
      </c>
      <c r="B13" s="3">
        <v>12</v>
      </c>
      <c r="C13" s="3" t="s">
        <v>1061</v>
      </c>
      <c r="D13" s="3" t="s">
        <v>1061</v>
      </c>
      <c r="E13" s="3" t="s">
        <v>1062</v>
      </c>
      <c r="F13" s="13">
        <v>14753</v>
      </c>
      <c r="G13" s="13">
        <v>13383</v>
      </c>
      <c r="H13" s="402"/>
      <c r="I13" s="403"/>
      <c r="J13" s="406"/>
      <c r="K13" s="483"/>
      <c r="L13" s="484"/>
      <c r="M13" s="483"/>
    </row>
    <row r="14" spans="1:13" ht="240" x14ac:dyDescent="0.25">
      <c r="A14" s="4" t="s">
        <v>21</v>
      </c>
      <c r="B14" s="3">
        <v>13</v>
      </c>
      <c r="C14" s="5" t="s">
        <v>103</v>
      </c>
      <c r="D14" s="5" t="s">
        <v>104</v>
      </c>
      <c r="E14" s="241" t="s">
        <v>22</v>
      </c>
      <c r="F14" s="6" t="s">
        <v>105</v>
      </c>
      <c r="G14" s="6" t="s">
        <v>106</v>
      </c>
      <c r="H14" s="3" t="s">
        <v>23</v>
      </c>
      <c r="I14" s="3" t="s">
        <v>142</v>
      </c>
      <c r="J14" s="3" t="s">
        <v>143</v>
      </c>
      <c r="K14" s="362" t="s">
        <v>1132</v>
      </c>
      <c r="L14" s="362" t="s">
        <v>1358</v>
      </c>
      <c r="M14" s="485" t="s">
        <v>1862</v>
      </c>
    </row>
    <row r="15" spans="1:13" ht="90" x14ac:dyDescent="0.25">
      <c r="A15" s="3" t="s">
        <v>172</v>
      </c>
      <c r="B15" s="3">
        <v>14</v>
      </c>
      <c r="C15" s="3" t="s">
        <v>181</v>
      </c>
      <c r="D15" s="3" t="s">
        <v>181</v>
      </c>
      <c r="E15" s="3" t="s">
        <v>182</v>
      </c>
      <c r="F15" s="13">
        <v>38754</v>
      </c>
      <c r="G15" s="13">
        <v>63416</v>
      </c>
      <c r="H15" s="3" t="s">
        <v>173</v>
      </c>
      <c r="I15" s="3" t="s">
        <v>183</v>
      </c>
      <c r="J15" s="3"/>
      <c r="K15" s="486" t="s">
        <v>1555</v>
      </c>
      <c r="L15" s="362" t="s">
        <v>1811</v>
      </c>
      <c r="M15" s="362" t="s">
        <v>1864</v>
      </c>
    </row>
    <row r="16" spans="1:13" ht="90" x14ac:dyDescent="0.25">
      <c r="A16" s="3" t="s">
        <v>1020</v>
      </c>
      <c r="B16" s="3">
        <v>15</v>
      </c>
      <c r="C16" s="3" t="s">
        <v>181</v>
      </c>
      <c r="D16" s="3" t="s">
        <v>181</v>
      </c>
      <c r="E16" s="3" t="s">
        <v>1039</v>
      </c>
      <c r="F16" s="13">
        <v>38754</v>
      </c>
      <c r="G16" s="13">
        <v>63416</v>
      </c>
      <c r="H16" s="3" t="s">
        <v>1022</v>
      </c>
      <c r="I16" s="3" t="s">
        <v>1040</v>
      </c>
      <c r="J16" s="12"/>
      <c r="K16" s="486" t="s">
        <v>1555</v>
      </c>
      <c r="L16" s="362" t="s">
        <v>1811</v>
      </c>
      <c r="M16" s="362" t="s">
        <v>1864</v>
      </c>
    </row>
    <row r="17" spans="1:13" ht="60" x14ac:dyDescent="0.25">
      <c r="A17" s="3" t="s">
        <v>172</v>
      </c>
      <c r="B17" s="3">
        <v>16</v>
      </c>
      <c r="C17" s="3" t="s">
        <v>184</v>
      </c>
      <c r="D17" s="3" t="s">
        <v>184</v>
      </c>
      <c r="E17" s="3" t="s">
        <v>185</v>
      </c>
      <c r="F17" s="13">
        <v>30147</v>
      </c>
      <c r="G17" s="13">
        <v>39747</v>
      </c>
      <c r="H17" s="3" t="s">
        <v>173</v>
      </c>
      <c r="I17" s="3" t="s">
        <v>186</v>
      </c>
      <c r="J17" s="3"/>
      <c r="K17" s="362" t="s">
        <v>1467</v>
      </c>
      <c r="L17" s="362" t="s">
        <v>1358</v>
      </c>
      <c r="M17" s="362" t="s">
        <v>1864</v>
      </c>
    </row>
    <row r="18" spans="1:13" ht="150" x14ac:dyDescent="0.25">
      <c r="A18" s="3" t="s">
        <v>21</v>
      </c>
      <c r="B18" s="3">
        <v>17</v>
      </c>
      <c r="C18" s="3" t="s">
        <v>24</v>
      </c>
      <c r="D18" s="3" t="s">
        <v>24</v>
      </c>
      <c r="E18" s="3" t="s">
        <v>25</v>
      </c>
      <c r="F18" s="13">
        <v>34379</v>
      </c>
      <c r="G18" s="13">
        <v>98441</v>
      </c>
      <c r="H18" s="3" t="s">
        <v>23</v>
      </c>
      <c r="I18" s="3" t="s">
        <v>144</v>
      </c>
      <c r="J18" s="3"/>
      <c r="K18" s="362" t="s">
        <v>1104</v>
      </c>
      <c r="L18" s="362" t="s">
        <v>1821</v>
      </c>
      <c r="M18" s="487" t="s">
        <v>1850</v>
      </c>
    </row>
    <row r="19" spans="1:13" ht="150" x14ac:dyDescent="0.25">
      <c r="A19" s="3" t="s">
        <v>172</v>
      </c>
      <c r="B19" s="3">
        <v>18</v>
      </c>
      <c r="C19" s="3" t="s">
        <v>24</v>
      </c>
      <c r="D19" s="3" t="s">
        <v>24</v>
      </c>
      <c r="E19" s="3" t="s">
        <v>25</v>
      </c>
      <c r="F19" s="13">
        <v>34379</v>
      </c>
      <c r="G19" s="13">
        <v>98441</v>
      </c>
      <c r="H19" s="3" t="s">
        <v>173</v>
      </c>
      <c r="I19" s="3" t="s">
        <v>187</v>
      </c>
      <c r="J19" s="3"/>
      <c r="K19" s="362" t="s">
        <v>1104</v>
      </c>
      <c r="L19" s="362" t="s">
        <v>1821</v>
      </c>
      <c r="M19" s="487" t="s">
        <v>1850</v>
      </c>
    </row>
    <row r="20" spans="1:13" ht="150" x14ac:dyDescent="0.25">
      <c r="A20" s="3" t="s">
        <v>450</v>
      </c>
      <c r="B20" s="3">
        <v>19</v>
      </c>
      <c r="C20" s="3" t="s">
        <v>24</v>
      </c>
      <c r="D20" s="3" t="s">
        <v>24</v>
      </c>
      <c r="E20" s="3" t="s">
        <v>25</v>
      </c>
      <c r="F20" s="13">
        <v>34378.702824898581</v>
      </c>
      <c r="G20" s="13">
        <v>98441</v>
      </c>
      <c r="H20" s="3" t="s">
        <v>447</v>
      </c>
      <c r="I20" s="3" t="s">
        <v>451</v>
      </c>
      <c r="J20" s="3"/>
      <c r="K20" s="362" t="s">
        <v>1104</v>
      </c>
      <c r="L20" s="362" t="s">
        <v>1821</v>
      </c>
      <c r="M20" s="487" t="s">
        <v>1850</v>
      </c>
    </row>
    <row r="21" spans="1:13" ht="150" x14ac:dyDescent="0.25">
      <c r="A21" s="3" t="s">
        <v>586</v>
      </c>
      <c r="B21" s="3">
        <v>20</v>
      </c>
      <c r="C21" s="3" t="s">
        <v>24</v>
      </c>
      <c r="D21" s="3" t="s">
        <v>24</v>
      </c>
      <c r="E21" s="3" t="s">
        <v>25</v>
      </c>
      <c r="F21" s="13">
        <v>34378.702824898581</v>
      </c>
      <c r="G21" s="13">
        <v>98441</v>
      </c>
      <c r="H21" s="3" t="s">
        <v>590</v>
      </c>
      <c r="I21" s="3" t="s">
        <v>591</v>
      </c>
      <c r="J21" s="12" t="s">
        <v>141</v>
      </c>
      <c r="K21" s="362" t="s">
        <v>1104</v>
      </c>
      <c r="L21" s="362" t="s">
        <v>1821</v>
      </c>
      <c r="M21" s="487" t="s">
        <v>1850</v>
      </c>
    </row>
    <row r="22" spans="1:13" ht="195" x14ac:dyDescent="0.25">
      <c r="A22" s="3" t="s">
        <v>1020</v>
      </c>
      <c r="B22" s="3">
        <v>21</v>
      </c>
      <c r="C22" s="3" t="s">
        <v>24</v>
      </c>
      <c r="D22" s="3" t="s">
        <v>24</v>
      </c>
      <c r="E22" s="3" t="s">
        <v>25</v>
      </c>
      <c r="F22" s="13">
        <v>34379</v>
      </c>
      <c r="G22" s="13">
        <v>98441</v>
      </c>
      <c r="H22" s="3" t="s">
        <v>1022</v>
      </c>
      <c r="I22" s="3" t="s">
        <v>1038</v>
      </c>
      <c r="J22" s="12"/>
      <c r="K22" s="362" t="s">
        <v>1104</v>
      </c>
      <c r="L22" s="362" t="s">
        <v>1821</v>
      </c>
      <c r="M22" s="487" t="s">
        <v>1850</v>
      </c>
    </row>
    <row r="23" spans="1:13" ht="285" x14ac:dyDescent="0.25">
      <c r="A23" s="3" t="s">
        <v>1100</v>
      </c>
      <c r="B23" s="3">
        <v>22</v>
      </c>
      <c r="C23" s="3" t="s">
        <v>24</v>
      </c>
      <c r="D23" s="3" t="s">
        <v>24</v>
      </c>
      <c r="E23" s="3" t="s">
        <v>25</v>
      </c>
      <c r="F23" s="13">
        <v>34379</v>
      </c>
      <c r="G23" s="13">
        <v>98441</v>
      </c>
      <c r="H23" s="3" t="s">
        <v>1101</v>
      </c>
      <c r="I23" s="3" t="s">
        <v>1102</v>
      </c>
      <c r="J23" s="3" t="s">
        <v>1103</v>
      </c>
      <c r="K23" s="362" t="s">
        <v>1104</v>
      </c>
      <c r="L23" s="362" t="s">
        <v>1821</v>
      </c>
      <c r="M23" s="487" t="s">
        <v>1850</v>
      </c>
    </row>
    <row r="24" spans="1:13" ht="60" x14ac:dyDescent="0.25">
      <c r="A24" s="3" t="s">
        <v>172</v>
      </c>
      <c r="B24" s="3">
        <v>23</v>
      </c>
      <c r="C24" s="3" t="s">
        <v>188</v>
      </c>
      <c r="D24" s="3" t="s">
        <v>188</v>
      </c>
      <c r="E24" s="3" t="s">
        <v>189</v>
      </c>
      <c r="F24" s="13">
        <v>65083</v>
      </c>
      <c r="G24" s="13">
        <v>18526</v>
      </c>
      <c r="H24" s="3" t="s">
        <v>173</v>
      </c>
      <c r="I24" s="3" t="s">
        <v>190</v>
      </c>
      <c r="J24" s="3"/>
      <c r="K24" s="362" t="s">
        <v>1132</v>
      </c>
      <c r="L24" s="362" t="s">
        <v>1358</v>
      </c>
      <c r="M24" s="485" t="s">
        <v>1862</v>
      </c>
    </row>
    <row r="25" spans="1:13" ht="60" x14ac:dyDescent="0.25">
      <c r="A25" s="3" t="s">
        <v>172</v>
      </c>
      <c r="B25" s="3">
        <v>24</v>
      </c>
      <c r="C25" s="3" t="s">
        <v>191</v>
      </c>
      <c r="D25" s="3" t="s">
        <v>191</v>
      </c>
      <c r="E25" s="3" t="s">
        <v>192</v>
      </c>
      <c r="F25" s="13">
        <v>74508</v>
      </c>
      <c r="G25" s="13">
        <v>20728</v>
      </c>
      <c r="H25" s="3" t="s">
        <v>173</v>
      </c>
      <c r="I25" s="3" t="s">
        <v>193</v>
      </c>
      <c r="J25" s="3"/>
      <c r="K25" s="362" t="s">
        <v>1132</v>
      </c>
      <c r="L25" s="362" t="s">
        <v>1358</v>
      </c>
      <c r="M25" s="485" t="s">
        <v>1862</v>
      </c>
    </row>
    <row r="26" spans="1:13" ht="195" x14ac:dyDescent="0.25">
      <c r="A26" s="3" t="s">
        <v>1080</v>
      </c>
      <c r="B26" s="3">
        <v>25</v>
      </c>
      <c r="C26" s="3" t="s">
        <v>1115</v>
      </c>
      <c r="D26" s="3" t="s">
        <v>1115</v>
      </c>
      <c r="E26" s="3" t="s">
        <v>1112</v>
      </c>
      <c r="F26" s="52" t="s">
        <v>1116</v>
      </c>
      <c r="G26" s="52" t="s">
        <v>1117</v>
      </c>
      <c r="H26" s="3" t="s">
        <v>1081</v>
      </c>
      <c r="I26" s="3" t="s">
        <v>1113</v>
      </c>
      <c r="J26" s="12"/>
      <c r="K26" s="362" t="s">
        <v>1157</v>
      </c>
      <c r="L26" s="362" t="s">
        <v>1358</v>
      </c>
      <c r="M26" s="485" t="s">
        <v>1846</v>
      </c>
    </row>
    <row r="27" spans="1:13" ht="60" x14ac:dyDescent="0.25">
      <c r="A27" s="3" t="s">
        <v>1080</v>
      </c>
      <c r="B27" s="3">
        <v>26</v>
      </c>
      <c r="C27" s="3" t="s">
        <v>1084</v>
      </c>
      <c r="D27" s="3" t="s">
        <v>1084</v>
      </c>
      <c r="E27" s="3" t="s">
        <v>1083</v>
      </c>
      <c r="F27" s="51">
        <v>24334.928680195138</v>
      </c>
      <c r="G27" s="51">
        <v>30453</v>
      </c>
      <c r="H27" s="3" t="s">
        <v>1081</v>
      </c>
      <c r="I27" s="3" t="s">
        <v>1082</v>
      </c>
      <c r="J27" s="12"/>
      <c r="K27" s="362" t="s">
        <v>1133</v>
      </c>
      <c r="L27" s="362" t="s">
        <v>1358</v>
      </c>
      <c r="M27" s="362" t="s">
        <v>1847</v>
      </c>
    </row>
    <row r="28" spans="1:13" ht="150" x14ac:dyDescent="0.25">
      <c r="A28" s="3" t="s">
        <v>1080</v>
      </c>
      <c r="B28" s="3">
        <v>27</v>
      </c>
      <c r="C28" s="3" t="s">
        <v>1086</v>
      </c>
      <c r="D28" s="3" t="s">
        <v>1086</v>
      </c>
      <c r="E28" s="253" t="s">
        <v>1118</v>
      </c>
      <c r="F28" s="51">
        <v>16330.361970000002</v>
      </c>
      <c r="G28" s="51">
        <v>14570</v>
      </c>
      <c r="H28" s="3" t="s">
        <v>1081</v>
      </c>
      <c r="I28" s="3" t="s">
        <v>1085</v>
      </c>
      <c r="J28" s="12"/>
      <c r="K28" s="362" t="s">
        <v>1119</v>
      </c>
      <c r="L28" s="362" t="s">
        <v>1358</v>
      </c>
      <c r="M28" s="362" t="s">
        <v>1358</v>
      </c>
    </row>
    <row r="29" spans="1:13" ht="195" x14ac:dyDescent="0.25">
      <c r="A29" s="3" t="s">
        <v>1080</v>
      </c>
      <c r="B29" s="3">
        <v>28</v>
      </c>
      <c r="C29" s="3" t="s">
        <v>1122</v>
      </c>
      <c r="D29" s="50" t="s">
        <v>1121</v>
      </c>
      <c r="E29" s="3" t="s">
        <v>1125</v>
      </c>
      <c r="F29" s="52" t="s">
        <v>1123</v>
      </c>
      <c r="G29" s="254" t="s">
        <v>1124</v>
      </c>
      <c r="H29" s="3" t="s">
        <v>1081</v>
      </c>
      <c r="I29" s="3" t="s">
        <v>1114</v>
      </c>
      <c r="J29" s="12"/>
      <c r="K29" s="362" t="s">
        <v>1158</v>
      </c>
      <c r="L29" s="362" t="s">
        <v>1358</v>
      </c>
      <c r="M29" s="362" t="s">
        <v>1864</v>
      </c>
    </row>
    <row r="30" spans="1:13" ht="120" x14ac:dyDescent="0.25">
      <c r="A30" s="3" t="s">
        <v>1080</v>
      </c>
      <c r="B30" s="3">
        <v>29</v>
      </c>
      <c r="C30" s="3" t="s">
        <v>1088</v>
      </c>
      <c r="D30" s="3"/>
      <c r="E30" s="3"/>
      <c r="F30" s="51"/>
      <c r="G30" s="51"/>
      <c r="H30" s="3" t="s">
        <v>1081</v>
      </c>
      <c r="I30" s="3" t="s">
        <v>1087</v>
      </c>
      <c r="J30" s="12"/>
      <c r="K30" s="362" t="s">
        <v>1120</v>
      </c>
      <c r="L30" s="362" t="s">
        <v>1358</v>
      </c>
      <c r="M30" s="362" t="s">
        <v>1848</v>
      </c>
    </row>
    <row r="31" spans="1:13" ht="90" x14ac:dyDescent="0.25">
      <c r="A31" s="3" t="s">
        <v>21</v>
      </c>
      <c r="B31" s="3">
        <v>30</v>
      </c>
      <c r="C31" s="3" t="s">
        <v>26</v>
      </c>
      <c r="D31" s="3" t="s">
        <v>26</v>
      </c>
      <c r="E31" s="3" t="s">
        <v>27</v>
      </c>
      <c r="F31" s="13">
        <v>565511</v>
      </c>
      <c r="G31" s="13">
        <v>504551</v>
      </c>
      <c r="H31" s="3" t="s">
        <v>23</v>
      </c>
      <c r="I31" s="3" t="s">
        <v>28</v>
      </c>
      <c r="J31" s="3"/>
      <c r="K31" s="362" t="s">
        <v>1468</v>
      </c>
      <c r="L31" s="362" t="s">
        <v>1358</v>
      </c>
      <c r="M31" s="362" t="s">
        <v>1849</v>
      </c>
    </row>
    <row r="32" spans="1:13" ht="285" x14ac:dyDescent="0.25">
      <c r="A32" s="3" t="s">
        <v>586</v>
      </c>
      <c r="B32" s="3">
        <v>31</v>
      </c>
      <c r="C32" s="3" t="s">
        <v>600</v>
      </c>
      <c r="D32" s="3"/>
      <c r="E32" s="3" t="s">
        <v>601</v>
      </c>
      <c r="F32" s="13">
        <v>39915</v>
      </c>
      <c r="G32" s="13"/>
      <c r="H32" s="3" t="s">
        <v>588</v>
      </c>
      <c r="I32" s="3" t="s">
        <v>602</v>
      </c>
      <c r="J32" s="3"/>
      <c r="K32" s="362" t="s">
        <v>1589</v>
      </c>
      <c r="L32" s="362" t="s">
        <v>1358</v>
      </c>
      <c r="M32" s="362" t="s">
        <v>1863</v>
      </c>
    </row>
    <row r="33" spans="1:13" ht="60" x14ac:dyDescent="0.25">
      <c r="A33" s="3" t="s">
        <v>450</v>
      </c>
      <c r="B33" s="3">
        <v>32</v>
      </c>
      <c r="C33" s="3" t="s">
        <v>452</v>
      </c>
      <c r="D33" s="3" t="s">
        <v>453</v>
      </c>
      <c r="E33" s="3" t="s">
        <v>454</v>
      </c>
      <c r="F33" s="13">
        <v>95295.994073267255</v>
      </c>
      <c r="G33" s="13">
        <v>142699</v>
      </c>
      <c r="H33" s="3" t="s">
        <v>447</v>
      </c>
      <c r="I33" s="3" t="s">
        <v>455</v>
      </c>
      <c r="J33" s="3"/>
      <c r="K33" s="362" t="s">
        <v>1590</v>
      </c>
      <c r="L33" s="362" t="s">
        <v>1358</v>
      </c>
      <c r="M33" s="362" t="s">
        <v>1864</v>
      </c>
    </row>
    <row r="34" spans="1:13" ht="45" x14ac:dyDescent="0.25">
      <c r="A34" s="3" t="s">
        <v>21</v>
      </c>
      <c r="B34" s="3">
        <v>33</v>
      </c>
      <c r="C34" s="3" t="s">
        <v>29</v>
      </c>
      <c r="D34" s="3" t="s">
        <v>29</v>
      </c>
      <c r="E34" s="3" t="s">
        <v>30</v>
      </c>
      <c r="F34" s="13">
        <v>372416</v>
      </c>
      <c r="G34" s="13">
        <v>332271</v>
      </c>
      <c r="H34" s="3" t="s">
        <v>23</v>
      </c>
      <c r="I34" s="3" t="s">
        <v>31</v>
      </c>
      <c r="J34" s="3"/>
      <c r="K34" s="362" t="s">
        <v>1756</v>
      </c>
      <c r="L34" s="362" t="s">
        <v>1358</v>
      </c>
      <c r="M34" s="362" t="s">
        <v>1864</v>
      </c>
    </row>
    <row r="35" spans="1:13" ht="45" x14ac:dyDescent="0.25">
      <c r="A35" s="3" t="s">
        <v>21</v>
      </c>
      <c r="B35" s="3">
        <v>34</v>
      </c>
      <c r="C35" s="3" t="s">
        <v>32</v>
      </c>
      <c r="D35" s="3" t="s">
        <v>32</v>
      </c>
      <c r="E35" s="3" t="s">
        <v>33</v>
      </c>
      <c r="F35" s="13">
        <v>122462</v>
      </c>
      <c r="G35" s="13">
        <v>109261</v>
      </c>
      <c r="H35" s="3" t="s">
        <v>23</v>
      </c>
      <c r="I35" s="3" t="s">
        <v>31</v>
      </c>
      <c r="J35" s="3"/>
      <c r="K35" s="362" t="s">
        <v>1756</v>
      </c>
      <c r="L35" s="362" t="s">
        <v>1358</v>
      </c>
      <c r="M35" s="362" t="s">
        <v>1864</v>
      </c>
    </row>
    <row r="36" spans="1:13" ht="195" x14ac:dyDescent="0.25">
      <c r="A36" s="3" t="s">
        <v>172</v>
      </c>
      <c r="B36" s="3">
        <v>35</v>
      </c>
      <c r="C36" s="3" t="s">
        <v>194</v>
      </c>
      <c r="D36" s="3" t="s">
        <v>194</v>
      </c>
      <c r="E36" s="3" t="s">
        <v>195</v>
      </c>
      <c r="F36" s="13">
        <v>39229</v>
      </c>
      <c r="G36" s="13">
        <v>57512</v>
      </c>
      <c r="H36" s="3" t="s">
        <v>173</v>
      </c>
      <c r="I36" s="3" t="s">
        <v>196</v>
      </c>
      <c r="J36" s="3"/>
      <c r="K36" s="362" t="s">
        <v>1469</v>
      </c>
      <c r="L36" s="362" t="s">
        <v>1358</v>
      </c>
      <c r="M36" s="362" t="s">
        <v>1847</v>
      </c>
    </row>
    <row r="37" spans="1:13" ht="165" x14ac:dyDescent="0.25">
      <c r="A37" s="3" t="s">
        <v>172</v>
      </c>
      <c r="B37" s="3">
        <v>36</v>
      </c>
      <c r="C37" s="3" t="s">
        <v>197</v>
      </c>
      <c r="D37" s="3" t="s">
        <v>197</v>
      </c>
      <c r="E37" s="3" t="s">
        <v>198</v>
      </c>
      <c r="F37" s="13">
        <v>118804</v>
      </c>
      <c r="G37" s="13">
        <v>212607</v>
      </c>
      <c r="H37" s="3" t="s">
        <v>173</v>
      </c>
      <c r="I37" s="3" t="s">
        <v>199</v>
      </c>
      <c r="J37" s="3"/>
      <c r="K37" s="362" t="s">
        <v>1470</v>
      </c>
      <c r="L37" s="362" t="s">
        <v>1358</v>
      </c>
      <c r="M37" s="485" t="s">
        <v>1846</v>
      </c>
    </row>
    <row r="38" spans="1:13" ht="210" x14ac:dyDescent="0.25">
      <c r="A38" s="3" t="s">
        <v>172</v>
      </c>
      <c r="B38" s="3">
        <v>37</v>
      </c>
      <c r="C38" s="3" t="s">
        <v>200</v>
      </c>
      <c r="D38" s="3" t="s">
        <v>200</v>
      </c>
      <c r="E38" s="3" t="s">
        <v>201</v>
      </c>
      <c r="F38" s="13">
        <v>22497</v>
      </c>
      <c r="G38" s="13">
        <v>40596</v>
      </c>
      <c r="H38" s="3" t="s">
        <v>173</v>
      </c>
      <c r="I38" s="3" t="s">
        <v>202</v>
      </c>
      <c r="J38" s="3"/>
      <c r="K38" s="362" t="s">
        <v>1471</v>
      </c>
      <c r="L38" s="362" t="s">
        <v>1358</v>
      </c>
      <c r="M38" s="362" t="s">
        <v>1864</v>
      </c>
    </row>
    <row r="39" spans="1:13" ht="90" customHeight="1" x14ac:dyDescent="0.25">
      <c r="A39" s="3" t="s">
        <v>586</v>
      </c>
      <c r="B39" s="3">
        <v>38</v>
      </c>
      <c r="C39" s="3" t="s">
        <v>603</v>
      </c>
      <c r="D39" s="3" t="s">
        <v>603</v>
      </c>
      <c r="E39" s="3" t="s">
        <v>604</v>
      </c>
      <c r="F39" s="13"/>
      <c r="G39" s="13"/>
      <c r="H39" s="3" t="s">
        <v>588</v>
      </c>
      <c r="I39" s="3" t="s">
        <v>605</v>
      </c>
      <c r="J39" s="4"/>
      <c r="K39" s="362" t="s">
        <v>1159</v>
      </c>
      <c r="L39" s="362" t="s">
        <v>1358</v>
      </c>
      <c r="M39" s="488" t="s">
        <v>1865</v>
      </c>
    </row>
    <row r="40" spans="1:13" ht="120" x14ac:dyDescent="0.25">
      <c r="A40" s="3" t="s">
        <v>172</v>
      </c>
      <c r="B40" s="3">
        <v>39</v>
      </c>
      <c r="C40" s="3" t="s">
        <v>177</v>
      </c>
      <c r="D40" s="3"/>
      <c r="E40" s="3"/>
      <c r="F40" s="13"/>
      <c r="G40" s="13"/>
      <c r="H40" s="3" t="s">
        <v>173</v>
      </c>
      <c r="I40" s="3" t="s">
        <v>178</v>
      </c>
      <c r="J40" s="3"/>
      <c r="K40" s="362" t="s">
        <v>1160</v>
      </c>
      <c r="L40" s="362" t="s">
        <v>1358</v>
      </c>
      <c r="M40" s="489"/>
    </row>
    <row r="41" spans="1:13" ht="409.5" x14ac:dyDescent="0.25">
      <c r="A41" s="3" t="s">
        <v>172</v>
      </c>
      <c r="B41" s="3">
        <v>40</v>
      </c>
      <c r="C41" s="3" t="s">
        <v>177</v>
      </c>
      <c r="D41" s="3"/>
      <c r="E41" s="3"/>
      <c r="F41" s="13"/>
      <c r="G41" s="13"/>
      <c r="H41" s="3" t="s">
        <v>173</v>
      </c>
      <c r="I41" s="3" t="s">
        <v>179</v>
      </c>
      <c r="J41" s="3"/>
      <c r="K41" s="362" t="s">
        <v>1161</v>
      </c>
      <c r="L41" s="362" t="s">
        <v>1823</v>
      </c>
      <c r="M41" s="490"/>
    </row>
    <row r="42" spans="1:13" ht="210" x14ac:dyDescent="0.25">
      <c r="A42" s="3" t="s">
        <v>172</v>
      </c>
      <c r="B42" s="3">
        <v>41</v>
      </c>
      <c r="C42" s="3" t="s">
        <v>177</v>
      </c>
      <c r="D42" s="3"/>
      <c r="E42" s="3"/>
      <c r="F42" s="13"/>
      <c r="G42" s="13"/>
      <c r="H42" s="3" t="s">
        <v>173</v>
      </c>
      <c r="I42" s="3" t="s">
        <v>180</v>
      </c>
      <c r="J42" s="3"/>
      <c r="K42" s="362" t="s">
        <v>1162</v>
      </c>
      <c r="L42" s="362" t="s">
        <v>1358</v>
      </c>
      <c r="M42" s="491" t="s">
        <v>1866</v>
      </c>
    </row>
    <row r="43" spans="1:13" ht="120" x14ac:dyDescent="0.25">
      <c r="A43" s="3" t="s">
        <v>450</v>
      </c>
      <c r="B43" s="3">
        <v>42</v>
      </c>
      <c r="C43" s="3" t="s">
        <v>462</v>
      </c>
      <c r="D43" s="3" t="s">
        <v>463</v>
      </c>
      <c r="E43" s="3" t="s">
        <v>464</v>
      </c>
      <c r="F43" s="13"/>
      <c r="G43" s="13"/>
      <c r="H43" s="3" t="s">
        <v>447</v>
      </c>
      <c r="I43" s="3" t="s">
        <v>465</v>
      </c>
      <c r="J43" s="3"/>
      <c r="K43" s="362" t="s">
        <v>1160</v>
      </c>
      <c r="L43" s="362" t="s">
        <v>1358</v>
      </c>
      <c r="M43" s="491" t="s">
        <v>1866</v>
      </c>
    </row>
    <row r="44" spans="1:13" ht="75" x14ac:dyDescent="0.25">
      <c r="A44" s="3" t="s">
        <v>556</v>
      </c>
      <c r="B44" s="3">
        <v>43</v>
      </c>
      <c r="C44" s="3" t="s">
        <v>565</v>
      </c>
      <c r="D44" s="3" t="s">
        <v>565</v>
      </c>
      <c r="E44" s="3" t="s">
        <v>566</v>
      </c>
      <c r="F44" s="13" t="s">
        <v>573</v>
      </c>
      <c r="G44" s="13" t="s">
        <v>574</v>
      </c>
      <c r="H44" s="3" t="s">
        <v>557</v>
      </c>
      <c r="I44" s="3" t="s">
        <v>567</v>
      </c>
      <c r="J44" s="3" t="s">
        <v>580</v>
      </c>
      <c r="K44" s="362" t="s">
        <v>1163</v>
      </c>
      <c r="L44" s="362" t="s">
        <v>1358</v>
      </c>
      <c r="M44" s="491" t="s">
        <v>1866</v>
      </c>
    </row>
    <row r="45" spans="1:13" ht="60" x14ac:dyDescent="0.25">
      <c r="A45" s="3" t="s">
        <v>21</v>
      </c>
      <c r="B45" s="3">
        <v>44</v>
      </c>
      <c r="C45" s="3" t="s">
        <v>34</v>
      </c>
      <c r="D45" s="3" t="s">
        <v>34</v>
      </c>
      <c r="E45" s="3" t="s">
        <v>35</v>
      </c>
      <c r="F45" s="13">
        <v>295220</v>
      </c>
      <c r="G45" s="13">
        <v>464067</v>
      </c>
      <c r="H45" s="3" t="s">
        <v>23</v>
      </c>
      <c r="I45" s="3" t="s">
        <v>36</v>
      </c>
      <c r="J45" s="3"/>
      <c r="K45" s="362" t="s">
        <v>1105</v>
      </c>
      <c r="L45" s="362" t="s">
        <v>1358</v>
      </c>
      <c r="M45" s="491" t="s">
        <v>1866</v>
      </c>
    </row>
    <row r="46" spans="1:13" ht="30" x14ac:dyDescent="0.25">
      <c r="A46" s="3" t="s">
        <v>586</v>
      </c>
      <c r="B46" s="3">
        <v>45</v>
      </c>
      <c r="C46" s="3" t="s">
        <v>34</v>
      </c>
      <c r="D46" s="3" t="s">
        <v>34</v>
      </c>
      <c r="E46" s="3" t="s">
        <v>35</v>
      </c>
      <c r="F46" s="13">
        <v>295220.2926884162</v>
      </c>
      <c r="G46" s="13">
        <v>464067</v>
      </c>
      <c r="H46" s="3" t="s">
        <v>588</v>
      </c>
      <c r="I46" s="3" t="s">
        <v>733</v>
      </c>
      <c r="J46" s="3"/>
      <c r="K46" s="362" t="s">
        <v>1106</v>
      </c>
      <c r="L46" s="362" t="s">
        <v>1358</v>
      </c>
      <c r="M46" s="491" t="s">
        <v>1866</v>
      </c>
    </row>
    <row r="47" spans="1:13" ht="75" x14ac:dyDescent="0.25">
      <c r="A47" s="3" t="s">
        <v>556</v>
      </c>
      <c r="B47" s="3">
        <v>46</v>
      </c>
      <c r="C47" s="3" t="s">
        <v>570</v>
      </c>
      <c r="D47" s="3" t="s">
        <v>570</v>
      </c>
      <c r="E47" s="3" t="s">
        <v>569</v>
      </c>
      <c r="F47" s="13">
        <v>236408.82693310195</v>
      </c>
      <c r="G47" s="13">
        <v>293529</v>
      </c>
      <c r="H47" s="3" t="s">
        <v>557</v>
      </c>
      <c r="I47" s="3" t="s">
        <v>575</v>
      </c>
      <c r="J47" s="3" t="s">
        <v>579</v>
      </c>
      <c r="K47" s="362" t="s">
        <v>1107</v>
      </c>
      <c r="L47" s="362" t="s">
        <v>1358</v>
      </c>
      <c r="M47" s="491" t="s">
        <v>1866</v>
      </c>
    </row>
    <row r="48" spans="1:13" ht="30" x14ac:dyDescent="0.25">
      <c r="A48" s="3" t="s">
        <v>586</v>
      </c>
      <c r="B48" s="3">
        <v>47</v>
      </c>
      <c r="C48" s="3" t="s">
        <v>734</v>
      </c>
      <c r="D48" s="3" t="s">
        <v>734</v>
      </c>
      <c r="E48" s="3" t="s">
        <v>735</v>
      </c>
      <c r="F48" s="13">
        <v>155725.78152320712</v>
      </c>
      <c r="G48" s="13">
        <v>225137</v>
      </c>
      <c r="H48" s="3" t="s">
        <v>588</v>
      </c>
      <c r="I48" s="3" t="s">
        <v>733</v>
      </c>
      <c r="J48" s="3"/>
      <c r="K48" s="362" t="s">
        <v>1108</v>
      </c>
      <c r="L48" s="362" t="s">
        <v>1358</v>
      </c>
      <c r="M48" s="491" t="s">
        <v>1866</v>
      </c>
    </row>
    <row r="49" spans="1:13" ht="30" x14ac:dyDescent="0.25">
      <c r="A49" s="3" t="s">
        <v>586</v>
      </c>
      <c r="B49" s="3">
        <v>48</v>
      </c>
      <c r="C49" s="3" t="s">
        <v>736</v>
      </c>
      <c r="D49" s="3" t="s">
        <v>736</v>
      </c>
      <c r="E49" s="3" t="s">
        <v>737</v>
      </c>
      <c r="F49" s="13">
        <v>191392.49060097485</v>
      </c>
      <c r="G49" s="13">
        <v>283553</v>
      </c>
      <c r="H49" s="3" t="s">
        <v>588</v>
      </c>
      <c r="I49" s="3" t="s">
        <v>733</v>
      </c>
      <c r="J49" s="3"/>
      <c r="K49" s="362" t="s">
        <v>1108</v>
      </c>
      <c r="L49" s="362" t="s">
        <v>1358</v>
      </c>
      <c r="M49" s="491" t="s">
        <v>1866</v>
      </c>
    </row>
    <row r="50" spans="1:13" ht="105" x14ac:dyDescent="0.25">
      <c r="A50" s="3" t="s">
        <v>21</v>
      </c>
      <c r="B50" s="3">
        <v>49</v>
      </c>
      <c r="C50" s="3" t="s">
        <v>45</v>
      </c>
      <c r="D50" s="3" t="s">
        <v>45</v>
      </c>
      <c r="E50" s="3" t="s">
        <v>46</v>
      </c>
      <c r="F50" s="13">
        <v>208306</v>
      </c>
      <c r="G50" s="13">
        <v>285911</v>
      </c>
      <c r="H50" s="3" t="s">
        <v>23</v>
      </c>
      <c r="I50" s="3" t="s">
        <v>47</v>
      </c>
      <c r="J50" s="3"/>
      <c r="K50" s="362" t="s">
        <v>1164</v>
      </c>
      <c r="L50" s="362" t="s">
        <v>1358</v>
      </c>
      <c r="M50" s="491" t="s">
        <v>1866</v>
      </c>
    </row>
    <row r="51" spans="1:13" ht="105" x14ac:dyDescent="0.25">
      <c r="A51" s="3" t="s">
        <v>21</v>
      </c>
      <c r="B51" s="3">
        <v>50</v>
      </c>
      <c r="C51" s="3" t="s">
        <v>48</v>
      </c>
      <c r="D51" s="3" t="s">
        <v>48</v>
      </c>
      <c r="E51" s="3" t="s">
        <v>49</v>
      </c>
      <c r="F51" s="13">
        <v>125312</v>
      </c>
      <c r="G51" s="13">
        <v>277604</v>
      </c>
      <c r="H51" s="3" t="s">
        <v>23</v>
      </c>
      <c r="I51" s="3" t="s">
        <v>47</v>
      </c>
      <c r="J51" s="3"/>
      <c r="K51" s="362" t="s">
        <v>1109</v>
      </c>
      <c r="L51" s="362" t="s">
        <v>1358</v>
      </c>
      <c r="M51" s="491" t="s">
        <v>1866</v>
      </c>
    </row>
    <row r="52" spans="1:13" ht="150" x14ac:dyDescent="0.25">
      <c r="A52" s="3" t="s">
        <v>172</v>
      </c>
      <c r="B52" s="3">
        <v>51</v>
      </c>
      <c r="C52" s="3" t="s">
        <v>48</v>
      </c>
      <c r="D52" s="3" t="s">
        <v>48</v>
      </c>
      <c r="E52" s="3" t="s">
        <v>49</v>
      </c>
      <c r="F52" s="13">
        <v>125312</v>
      </c>
      <c r="G52" s="13">
        <v>277604</v>
      </c>
      <c r="H52" s="3" t="s">
        <v>173</v>
      </c>
      <c r="I52" s="3" t="s">
        <v>203</v>
      </c>
      <c r="J52" s="3"/>
      <c r="K52" s="362" t="s">
        <v>1109</v>
      </c>
      <c r="L52" s="362" t="s">
        <v>1358</v>
      </c>
      <c r="M52" s="491" t="s">
        <v>1866</v>
      </c>
    </row>
    <row r="53" spans="1:13" ht="105" x14ac:dyDescent="0.25">
      <c r="A53" s="3" t="s">
        <v>450</v>
      </c>
      <c r="B53" s="3">
        <v>52</v>
      </c>
      <c r="C53" s="3" t="s">
        <v>48</v>
      </c>
      <c r="D53" s="3" t="s">
        <v>48</v>
      </c>
      <c r="E53" s="3" t="s">
        <v>49</v>
      </c>
      <c r="F53" s="13">
        <v>125312.23364748771</v>
      </c>
      <c r="G53" s="13">
        <v>277604</v>
      </c>
      <c r="H53" s="3" t="s">
        <v>447</v>
      </c>
      <c r="I53" s="3" t="s">
        <v>456</v>
      </c>
      <c r="J53" s="3"/>
      <c r="K53" s="362" t="s">
        <v>1109</v>
      </c>
      <c r="L53" s="362" t="s">
        <v>1358</v>
      </c>
      <c r="M53" s="491" t="s">
        <v>1866</v>
      </c>
    </row>
    <row r="54" spans="1:13" ht="75" x14ac:dyDescent="0.25">
      <c r="A54" s="3" t="s">
        <v>556</v>
      </c>
      <c r="B54" s="3">
        <v>53</v>
      </c>
      <c r="C54" s="3" t="s">
        <v>48</v>
      </c>
      <c r="D54" s="50" t="s">
        <v>48</v>
      </c>
      <c r="E54" s="3" t="s">
        <v>49</v>
      </c>
      <c r="F54" s="51">
        <v>125312.23364748771</v>
      </c>
      <c r="G54" s="51">
        <v>277604</v>
      </c>
      <c r="H54" s="3" t="s">
        <v>557</v>
      </c>
      <c r="I54" s="3" t="s">
        <v>564</v>
      </c>
      <c r="J54" s="3" t="s">
        <v>580</v>
      </c>
      <c r="K54" s="362" t="s">
        <v>1109</v>
      </c>
      <c r="L54" s="362" t="s">
        <v>1358</v>
      </c>
      <c r="M54" s="491" t="s">
        <v>1866</v>
      </c>
    </row>
    <row r="55" spans="1:13" ht="75" x14ac:dyDescent="0.25">
      <c r="A55" s="3" t="s">
        <v>586</v>
      </c>
      <c r="B55" s="3">
        <v>54</v>
      </c>
      <c r="C55" s="3" t="s">
        <v>48</v>
      </c>
      <c r="D55" s="3" t="s">
        <v>48</v>
      </c>
      <c r="E55" s="3" t="s">
        <v>49</v>
      </c>
      <c r="F55" s="13">
        <v>125312.23364748771</v>
      </c>
      <c r="G55" s="13">
        <v>277604</v>
      </c>
      <c r="H55" s="3" t="s">
        <v>588</v>
      </c>
      <c r="I55" s="3" t="s">
        <v>733</v>
      </c>
      <c r="J55" s="3"/>
      <c r="K55" s="362" t="s">
        <v>1109</v>
      </c>
      <c r="L55" s="362" t="s">
        <v>1358</v>
      </c>
      <c r="M55" s="491" t="s">
        <v>1866</v>
      </c>
    </row>
    <row r="56" spans="1:13" ht="75" x14ac:dyDescent="0.25">
      <c r="A56" s="3" t="s">
        <v>586</v>
      </c>
      <c r="B56" s="3">
        <v>55</v>
      </c>
      <c r="C56" s="3" t="s">
        <v>48</v>
      </c>
      <c r="D56" s="3" t="s">
        <v>48</v>
      </c>
      <c r="E56" s="3" t="s">
        <v>49</v>
      </c>
      <c r="F56" s="13">
        <v>125312.23364748771</v>
      </c>
      <c r="G56" s="13">
        <v>277604</v>
      </c>
      <c r="H56" s="3" t="s">
        <v>738</v>
      </c>
      <c r="I56" s="12" t="s">
        <v>743</v>
      </c>
      <c r="J56" s="12" t="s">
        <v>732</v>
      </c>
      <c r="K56" s="362" t="s">
        <v>1165</v>
      </c>
      <c r="L56" s="362" t="s">
        <v>1358</v>
      </c>
      <c r="M56" s="491" t="s">
        <v>1866</v>
      </c>
    </row>
    <row r="57" spans="1:13" ht="105" x14ac:dyDescent="0.25">
      <c r="A57" s="3" t="s">
        <v>495</v>
      </c>
      <c r="B57" s="3">
        <v>56</v>
      </c>
      <c r="C57" s="3" t="s">
        <v>496</v>
      </c>
      <c r="D57" s="3" t="s">
        <v>496</v>
      </c>
      <c r="E57" s="3" t="s">
        <v>497</v>
      </c>
      <c r="F57" s="13" t="s">
        <v>499</v>
      </c>
      <c r="G57" s="13" t="s">
        <v>498</v>
      </c>
      <c r="H57" s="3" t="s">
        <v>500</v>
      </c>
      <c r="I57" s="3" t="s">
        <v>501</v>
      </c>
      <c r="J57" s="3" t="s">
        <v>502</v>
      </c>
      <c r="K57" s="362" t="s">
        <v>1166</v>
      </c>
      <c r="L57" s="362" t="s">
        <v>1358</v>
      </c>
      <c r="M57" s="491" t="s">
        <v>1866</v>
      </c>
    </row>
    <row r="58" spans="1:13" ht="345" x14ac:dyDescent="0.25">
      <c r="A58" s="3" t="s">
        <v>556</v>
      </c>
      <c r="B58" s="3">
        <v>57</v>
      </c>
      <c r="C58" s="3" t="s">
        <v>559</v>
      </c>
      <c r="D58" s="3" t="s">
        <v>568</v>
      </c>
      <c r="E58" s="3" t="s">
        <v>558</v>
      </c>
      <c r="F58" s="52" t="s">
        <v>571</v>
      </c>
      <c r="G58" s="13" t="s">
        <v>572</v>
      </c>
      <c r="H58" s="3" t="s">
        <v>557</v>
      </c>
      <c r="I58" s="3" t="s">
        <v>560</v>
      </c>
      <c r="J58" s="3" t="s">
        <v>561</v>
      </c>
      <c r="K58" s="362" t="s">
        <v>1167</v>
      </c>
      <c r="L58" s="362" t="s">
        <v>1358</v>
      </c>
      <c r="M58" s="491" t="s">
        <v>1866</v>
      </c>
    </row>
    <row r="59" spans="1:13" ht="60" x14ac:dyDescent="0.25">
      <c r="A59" s="3" t="s">
        <v>556</v>
      </c>
      <c r="B59" s="3">
        <v>58</v>
      </c>
      <c r="C59" s="3" t="s">
        <v>584</v>
      </c>
      <c r="D59" s="3"/>
      <c r="E59" s="3"/>
      <c r="F59" s="13"/>
      <c r="G59" s="13"/>
      <c r="H59" s="3" t="s">
        <v>557</v>
      </c>
      <c r="I59" s="3" t="s">
        <v>585</v>
      </c>
      <c r="J59" s="3"/>
      <c r="K59" s="362" t="s">
        <v>1757</v>
      </c>
      <c r="L59" s="362" t="s">
        <v>1358</v>
      </c>
      <c r="M59" s="491" t="s">
        <v>1866</v>
      </c>
    </row>
    <row r="60" spans="1:13" ht="75" x14ac:dyDescent="0.25">
      <c r="A60" s="3" t="s">
        <v>172</v>
      </c>
      <c r="B60" s="3">
        <v>59</v>
      </c>
      <c r="C60" s="3" t="s">
        <v>204</v>
      </c>
      <c r="D60" s="3" t="s">
        <v>205</v>
      </c>
      <c r="E60" s="3" t="s">
        <v>206</v>
      </c>
      <c r="F60" s="13">
        <v>38451</v>
      </c>
      <c r="G60" s="13">
        <v>53642</v>
      </c>
      <c r="H60" s="3" t="s">
        <v>173</v>
      </c>
      <c r="I60" s="3" t="s">
        <v>207</v>
      </c>
      <c r="J60" s="3"/>
      <c r="K60" s="362" t="s">
        <v>1110</v>
      </c>
      <c r="L60" s="362" t="s">
        <v>1358</v>
      </c>
      <c r="M60" s="491" t="s">
        <v>1866</v>
      </c>
    </row>
    <row r="61" spans="1:13" ht="75" x14ac:dyDescent="0.25">
      <c r="A61" s="3" t="s">
        <v>450</v>
      </c>
      <c r="B61" s="3">
        <v>60</v>
      </c>
      <c r="C61" s="3" t="s">
        <v>204</v>
      </c>
      <c r="D61" s="3" t="s">
        <v>205</v>
      </c>
      <c r="E61" s="3" t="s">
        <v>206</v>
      </c>
      <c r="F61" s="13">
        <v>38450.608952796123</v>
      </c>
      <c r="G61" s="13">
        <v>53642</v>
      </c>
      <c r="H61" s="3" t="s">
        <v>447</v>
      </c>
      <c r="I61" s="3" t="s">
        <v>457</v>
      </c>
      <c r="J61" s="3"/>
      <c r="K61" s="362" t="s">
        <v>1110</v>
      </c>
      <c r="L61" s="362" t="s">
        <v>1358</v>
      </c>
      <c r="M61" s="491" t="s">
        <v>1866</v>
      </c>
    </row>
    <row r="62" spans="1:13" ht="90" x14ac:dyDescent="0.25">
      <c r="A62" s="3" t="s">
        <v>586</v>
      </c>
      <c r="B62" s="3">
        <v>61</v>
      </c>
      <c r="C62" s="3" t="s">
        <v>626</v>
      </c>
      <c r="D62" s="3" t="s">
        <v>204</v>
      </c>
      <c r="E62" s="3" t="s">
        <v>739</v>
      </c>
      <c r="F62" s="13">
        <v>7489.6178504099435</v>
      </c>
      <c r="G62" s="13">
        <v>11567</v>
      </c>
      <c r="H62" s="3" t="s">
        <v>738</v>
      </c>
      <c r="I62" s="12" t="s">
        <v>744</v>
      </c>
      <c r="J62" s="12" t="s">
        <v>732</v>
      </c>
      <c r="K62" s="362" t="s">
        <v>1111</v>
      </c>
      <c r="L62" s="362" t="s">
        <v>1358</v>
      </c>
      <c r="M62" s="491" t="s">
        <v>1866</v>
      </c>
    </row>
    <row r="63" spans="1:13" ht="120" x14ac:dyDescent="0.25">
      <c r="A63" s="3" t="s">
        <v>556</v>
      </c>
      <c r="B63" s="3">
        <v>62</v>
      </c>
      <c r="C63" s="3" t="s">
        <v>576</v>
      </c>
      <c r="D63" s="3"/>
      <c r="E63" s="3" t="s">
        <v>177</v>
      </c>
      <c r="F63" s="13"/>
      <c r="G63" s="13"/>
      <c r="H63" s="3" t="s">
        <v>557</v>
      </c>
      <c r="I63" s="3" t="s">
        <v>577</v>
      </c>
      <c r="J63" s="3" t="s">
        <v>578</v>
      </c>
      <c r="K63" s="362" t="s">
        <v>1168</v>
      </c>
      <c r="L63" s="362" t="s">
        <v>1358</v>
      </c>
      <c r="M63" s="491" t="s">
        <v>1866</v>
      </c>
    </row>
    <row r="64" spans="1:13" ht="45" x14ac:dyDescent="0.25">
      <c r="A64" s="3" t="s">
        <v>21</v>
      </c>
      <c r="B64" s="3">
        <v>63</v>
      </c>
      <c r="C64" s="3" t="s">
        <v>37</v>
      </c>
      <c r="D64" s="3" t="s">
        <v>38</v>
      </c>
      <c r="E64" s="3" t="s">
        <v>39</v>
      </c>
      <c r="F64" s="13">
        <v>35703</v>
      </c>
      <c r="G64" s="13">
        <v>110024</v>
      </c>
      <c r="H64" s="3" t="s">
        <v>23</v>
      </c>
      <c r="I64" s="3" t="s">
        <v>40</v>
      </c>
      <c r="J64" s="12" t="s">
        <v>141</v>
      </c>
      <c r="K64" s="362" t="s">
        <v>1169</v>
      </c>
      <c r="L64" s="362" t="s">
        <v>1358</v>
      </c>
      <c r="M64" s="491" t="s">
        <v>1866</v>
      </c>
    </row>
    <row r="65" spans="1:13" ht="75" x14ac:dyDescent="0.25">
      <c r="A65" s="3" t="s">
        <v>172</v>
      </c>
      <c r="B65" s="3">
        <v>64</v>
      </c>
      <c r="C65" s="3" t="s">
        <v>37</v>
      </c>
      <c r="D65" s="3" t="s">
        <v>38</v>
      </c>
      <c r="E65" s="3" t="s">
        <v>39</v>
      </c>
      <c r="F65" s="13">
        <v>35703</v>
      </c>
      <c r="G65" s="13">
        <v>110024</v>
      </c>
      <c r="H65" s="3" t="s">
        <v>173</v>
      </c>
      <c r="I65" s="3" t="s">
        <v>208</v>
      </c>
      <c r="J65" s="3"/>
      <c r="K65" s="362" t="s">
        <v>1169</v>
      </c>
      <c r="L65" s="362" t="s">
        <v>1358</v>
      </c>
      <c r="M65" s="491" t="s">
        <v>1866</v>
      </c>
    </row>
    <row r="66" spans="1:13" ht="45" x14ac:dyDescent="0.25">
      <c r="A66" s="3" t="s">
        <v>556</v>
      </c>
      <c r="B66" s="3">
        <v>65</v>
      </c>
      <c r="C66" s="3" t="s">
        <v>37</v>
      </c>
      <c r="D66" s="50" t="s">
        <v>38</v>
      </c>
      <c r="E66" s="3" t="s">
        <v>39</v>
      </c>
      <c r="F66" s="51">
        <v>35703</v>
      </c>
      <c r="G66" s="13">
        <v>110024</v>
      </c>
      <c r="H66" s="3" t="s">
        <v>557</v>
      </c>
      <c r="I66" s="3" t="s">
        <v>562</v>
      </c>
      <c r="J66" s="3" t="s">
        <v>563</v>
      </c>
      <c r="K66" s="362" t="s">
        <v>1169</v>
      </c>
      <c r="L66" s="362" t="s">
        <v>1358</v>
      </c>
      <c r="M66" s="491" t="s">
        <v>1866</v>
      </c>
    </row>
    <row r="67" spans="1:13" ht="75" x14ac:dyDescent="0.25">
      <c r="A67" s="3" t="s">
        <v>586</v>
      </c>
      <c r="B67" s="3">
        <v>66</v>
      </c>
      <c r="C67" s="3" t="s">
        <v>37</v>
      </c>
      <c r="D67" s="3" t="s">
        <v>38</v>
      </c>
      <c r="E67" s="3" t="s">
        <v>39</v>
      </c>
      <c r="F67" s="13">
        <v>35703.182872571939</v>
      </c>
      <c r="G67" s="13">
        <v>110024</v>
      </c>
      <c r="H67" s="3" t="s">
        <v>738</v>
      </c>
      <c r="I67" s="12" t="s">
        <v>745</v>
      </c>
      <c r="J67" s="12" t="s">
        <v>732</v>
      </c>
      <c r="K67" s="362" t="s">
        <v>1169</v>
      </c>
      <c r="L67" s="362" t="s">
        <v>1358</v>
      </c>
      <c r="M67" s="491" t="s">
        <v>1866</v>
      </c>
    </row>
    <row r="68" spans="1:13" ht="75" x14ac:dyDescent="0.25">
      <c r="A68" s="3" t="s">
        <v>586</v>
      </c>
      <c r="B68" s="3">
        <v>67</v>
      </c>
      <c r="C68" s="3" t="s">
        <v>42</v>
      </c>
      <c r="D68" s="3" t="s">
        <v>740</v>
      </c>
      <c r="E68" s="3" t="s">
        <v>741</v>
      </c>
      <c r="F68" s="13">
        <v>42538.486935571003</v>
      </c>
      <c r="G68" s="13">
        <v>65722</v>
      </c>
      <c r="H68" s="3" t="s">
        <v>738</v>
      </c>
      <c r="I68" s="12" t="s">
        <v>746</v>
      </c>
      <c r="J68" s="12" t="s">
        <v>732</v>
      </c>
      <c r="K68" s="362" t="s">
        <v>1170</v>
      </c>
      <c r="L68" s="362" t="s">
        <v>1358</v>
      </c>
      <c r="M68" s="491" t="s">
        <v>1866</v>
      </c>
    </row>
    <row r="69" spans="1:13" ht="135" x14ac:dyDescent="0.25">
      <c r="A69" s="3" t="s">
        <v>21</v>
      </c>
      <c r="B69" s="3">
        <v>68</v>
      </c>
      <c r="C69" s="3" t="s">
        <v>41</v>
      </c>
      <c r="D69" s="3" t="s">
        <v>42</v>
      </c>
      <c r="E69" s="3" t="s">
        <v>43</v>
      </c>
      <c r="F69" s="13">
        <v>11993</v>
      </c>
      <c r="G69" s="13">
        <v>19051</v>
      </c>
      <c r="H69" s="3" t="s">
        <v>23</v>
      </c>
      <c r="I69" s="3" t="s">
        <v>44</v>
      </c>
      <c r="J69" s="12" t="s">
        <v>141</v>
      </c>
      <c r="K69" s="362" t="s">
        <v>1171</v>
      </c>
      <c r="L69" s="362" t="s">
        <v>1358</v>
      </c>
      <c r="M69" s="491" t="s">
        <v>1866</v>
      </c>
    </row>
    <row r="70" spans="1:13" ht="30" x14ac:dyDescent="0.25">
      <c r="A70" s="3" t="s">
        <v>586</v>
      </c>
      <c r="B70" s="3">
        <v>69</v>
      </c>
      <c r="C70" s="3" t="s">
        <v>41</v>
      </c>
      <c r="D70" s="3" t="s">
        <v>42</v>
      </c>
      <c r="E70" s="3" t="s">
        <v>43</v>
      </c>
      <c r="F70" s="13">
        <v>11993.286127464209</v>
      </c>
      <c r="G70" s="13">
        <v>19051</v>
      </c>
      <c r="H70" s="3" t="s">
        <v>1758</v>
      </c>
      <c r="I70" s="3"/>
      <c r="J70" s="3"/>
      <c r="K70" s="492"/>
      <c r="L70" s="362" t="s">
        <v>1358</v>
      </c>
      <c r="M70" s="491" t="s">
        <v>1866</v>
      </c>
    </row>
    <row r="71" spans="1:13" ht="165" x14ac:dyDescent="0.25">
      <c r="A71" s="3" t="s">
        <v>172</v>
      </c>
      <c r="B71" s="3">
        <v>70</v>
      </c>
      <c r="C71" s="3" t="s">
        <v>209</v>
      </c>
      <c r="D71" s="3" t="s">
        <v>209</v>
      </c>
      <c r="E71" s="3" t="s">
        <v>210</v>
      </c>
      <c r="F71" s="13">
        <v>82309</v>
      </c>
      <c r="G71" s="13">
        <v>103228</v>
      </c>
      <c r="H71" s="3" t="s">
        <v>173</v>
      </c>
      <c r="I71" s="3" t="s">
        <v>211</v>
      </c>
      <c r="J71" s="3"/>
      <c r="K71" s="362" t="s">
        <v>1472</v>
      </c>
      <c r="L71" s="362" t="s">
        <v>1358</v>
      </c>
      <c r="M71" s="362" t="s">
        <v>1851</v>
      </c>
    </row>
    <row r="72" spans="1:13" ht="60" x14ac:dyDescent="0.25">
      <c r="A72" s="3" t="s">
        <v>450</v>
      </c>
      <c r="B72" s="3">
        <v>71</v>
      </c>
      <c r="C72" s="3" t="s">
        <v>458</v>
      </c>
      <c r="D72" s="3" t="s">
        <v>458</v>
      </c>
      <c r="E72" s="3" t="s">
        <v>459</v>
      </c>
      <c r="F72" s="13">
        <v>44821.33906121843</v>
      </c>
      <c r="G72" s="13">
        <v>35267</v>
      </c>
      <c r="H72" s="3" t="s">
        <v>447</v>
      </c>
      <c r="I72" s="3" t="s">
        <v>460</v>
      </c>
      <c r="J72" s="3"/>
      <c r="K72" s="362" t="s">
        <v>1473</v>
      </c>
      <c r="L72" s="362" t="s">
        <v>1358</v>
      </c>
      <c r="M72" s="362" t="s">
        <v>1851</v>
      </c>
    </row>
    <row r="73" spans="1:13" ht="126" customHeight="1" x14ac:dyDescent="0.25">
      <c r="A73" s="3" t="s">
        <v>172</v>
      </c>
      <c r="B73" s="3">
        <v>72</v>
      </c>
      <c r="C73" s="3" t="s">
        <v>212</v>
      </c>
      <c r="D73" s="3" t="s">
        <v>212</v>
      </c>
      <c r="E73" s="3" t="s">
        <v>213</v>
      </c>
      <c r="F73" s="13">
        <v>15346</v>
      </c>
      <c r="G73" s="13">
        <v>22456</v>
      </c>
      <c r="H73" s="3" t="s">
        <v>173</v>
      </c>
      <c r="I73" s="3" t="s">
        <v>214</v>
      </c>
      <c r="J73" s="3"/>
      <c r="K73" s="362" t="s">
        <v>1474</v>
      </c>
      <c r="L73" s="362" t="s">
        <v>1358</v>
      </c>
      <c r="M73" s="362" t="s">
        <v>1864</v>
      </c>
    </row>
    <row r="74" spans="1:13" ht="75" x14ac:dyDescent="0.25">
      <c r="A74" s="3" t="s">
        <v>450</v>
      </c>
      <c r="B74" s="3">
        <v>73</v>
      </c>
      <c r="C74" s="3" t="s">
        <v>212</v>
      </c>
      <c r="D74" s="3" t="s">
        <v>212</v>
      </c>
      <c r="E74" s="3" t="s">
        <v>213</v>
      </c>
      <c r="F74" s="13">
        <v>15345.534485037999</v>
      </c>
      <c r="G74" s="13">
        <v>22456</v>
      </c>
      <c r="H74" s="3" t="s">
        <v>447</v>
      </c>
      <c r="I74" s="3" t="s">
        <v>461</v>
      </c>
      <c r="J74" s="3"/>
      <c r="K74" s="362" t="s">
        <v>1474</v>
      </c>
      <c r="L74" s="362" t="s">
        <v>1358</v>
      </c>
      <c r="M74" s="362" t="s">
        <v>1864</v>
      </c>
    </row>
    <row r="75" spans="1:13" ht="75" x14ac:dyDescent="0.25">
      <c r="A75" s="3" t="s">
        <v>1126</v>
      </c>
      <c r="B75" s="3">
        <v>74</v>
      </c>
      <c r="C75" s="3" t="s">
        <v>212</v>
      </c>
      <c r="D75" s="3" t="s">
        <v>212</v>
      </c>
      <c r="E75" s="3" t="s">
        <v>213</v>
      </c>
      <c r="F75" s="13">
        <v>15345.534485037999</v>
      </c>
      <c r="G75" s="13">
        <v>22456</v>
      </c>
      <c r="H75" s="3" t="s">
        <v>1127</v>
      </c>
      <c r="I75" s="3" t="s">
        <v>1759</v>
      </c>
      <c r="J75" s="3"/>
      <c r="K75" s="362" t="s">
        <v>1474</v>
      </c>
      <c r="L75" s="362" t="s">
        <v>1358</v>
      </c>
      <c r="M75" s="362" t="s">
        <v>1864</v>
      </c>
    </row>
    <row r="76" spans="1:13" ht="75" x14ac:dyDescent="0.25">
      <c r="A76" s="3" t="s">
        <v>1126</v>
      </c>
      <c r="B76" s="3">
        <v>75</v>
      </c>
      <c r="C76" s="345" t="s">
        <v>1760</v>
      </c>
      <c r="D76" s="345" t="s">
        <v>1760</v>
      </c>
      <c r="E76" s="363" t="s">
        <v>1761</v>
      </c>
      <c r="F76" s="51">
        <v>56180.375041906453</v>
      </c>
      <c r="G76" s="51">
        <v>73203</v>
      </c>
      <c r="H76" s="3" t="s">
        <v>1127</v>
      </c>
      <c r="I76" s="3" t="s">
        <v>1762</v>
      </c>
      <c r="J76" s="3"/>
      <c r="K76" s="362" t="s">
        <v>1771</v>
      </c>
      <c r="L76" s="362" t="s">
        <v>1358</v>
      </c>
      <c r="M76" s="362" t="s">
        <v>1864</v>
      </c>
    </row>
    <row r="77" spans="1:13" ht="75" x14ac:dyDescent="0.25">
      <c r="A77" s="3" t="s">
        <v>1126</v>
      </c>
      <c r="B77" s="3">
        <v>76</v>
      </c>
      <c r="C77" s="345" t="s">
        <v>1763</v>
      </c>
      <c r="D77" s="345" t="s">
        <v>1763</v>
      </c>
      <c r="E77" s="363" t="s">
        <v>1764</v>
      </c>
      <c r="F77" s="51">
        <v>26124.926245737352</v>
      </c>
      <c r="G77" s="51">
        <v>31930</v>
      </c>
      <c r="H77" s="3" t="s">
        <v>1127</v>
      </c>
      <c r="I77" s="3" t="s">
        <v>1765</v>
      </c>
      <c r="J77" s="3"/>
      <c r="K77" s="362" t="s">
        <v>1771</v>
      </c>
      <c r="L77" s="362" t="s">
        <v>1358</v>
      </c>
      <c r="M77" s="362" t="s">
        <v>1864</v>
      </c>
    </row>
    <row r="78" spans="1:13" ht="75" x14ac:dyDescent="0.25">
      <c r="A78" s="3" t="s">
        <v>172</v>
      </c>
      <c r="B78" s="3">
        <v>77</v>
      </c>
      <c r="C78" s="3" t="s">
        <v>215</v>
      </c>
      <c r="D78" s="3" t="s">
        <v>215</v>
      </c>
      <c r="E78" s="3" t="s">
        <v>216</v>
      </c>
      <c r="F78" s="13">
        <v>19905</v>
      </c>
      <c r="G78" s="13">
        <v>26192</v>
      </c>
      <c r="H78" s="3" t="s">
        <v>173</v>
      </c>
      <c r="I78" s="3" t="s">
        <v>217</v>
      </c>
      <c r="J78" s="12" t="s">
        <v>141</v>
      </c>
      <c r="K78" s="362" t="s">
        <v>1475</v>
      </c>
      <c r="L78" s="362" t="s">
        <v>1358</v>
      </c>
      <c r="M78" s="362" t="s">
        <v>1852</v>
      </c>
    </row>
    <row r="79" spans="1:13" ht="75" x14ac:dyDescent="0.25">
      <c r="A79" s="3" t="s">
        <v>1126</v>
      </c>
      <c r="B79" s="3">
        <v>78</v>
      </c>
      <c r="C79" s="3" t="s">
        <v>215</v>
      </c>
      <c r="D79" s="3" t="s">
        <v>215</v>
      </c>
      <c r="E79" s="3" t="s">
        <v>216</v>
      </c>
      <c r="F79" s="13">
        <v>19905</v>
      </c>
      <c r="G79" s="13">
        <v>26192</v>
      </c>
      <c r="H79" s="3" t="s">
        <v>1127</v>
      </c>
      <c r="I79" s="3" t="s">
        <v>1128</v>
      </c>
      <c r="J79" s="12"/>
      <c r="K79" s="362" t="s">
        <v>1475</v>
      </c>
      <c r="L79" s="362" t="s">
        <v>1358</v>
      </c>
      <c r="M79" s="362" t="s">
        <v>1852</v>
      </c>
    </row>
    <row r="80" spans="1:13" ht="120" x14ac:dyDescent="0.25">
      <c r="A80" s="3" t="s">
        <v>21</v>
      </c>
      <c r="B80" s="3">
        <v>79</v>
      </c>
      <c r="C80" s="3" t="s">
        <v>50</v>
      </c>
      <c r="D80" s="3" t="s">
        <v>50</v>
      </c>
      <c r="E80" s="3" t="s">
        <v>51</v>
      </c>
      <c r="F80" s="13">
        <v>14901</v>
      </c>
      <c r="G80" s="13">
        <v>13295</v>
      </c>
      <c r="H80" s="3" t="s">
        <v>23</v>
      </c>
      <c r="I80" s="3" t="s">
        <v>52</v>
      </c>
      <c r="J80" s="3"/>
      <c r="K80" s="486" t="s">
        <v>1476</v>
      </c>
      <c r="L80" s="362" t="s">
        <v>1824</v>
      </c>
      <c r="M80" s="362" t="s">
        <v>1849</v>
      </c>
    </row>
    <row r="81" spans="1:13" ht="105" x14ac:dyDescent="0.25">
      <c r="A81" s="3" t="s">
        <v>450</v>
      </c>
      <c r="B81" s="3">
        <v>80</v>
      </c>
      <c r="C81" s="3" t="s">
        <v>466</v>
      </c>
      <c r="D81" s="3" t="s">
        <v>466</v>
      </c>
      <c r="E81" s="3" t="s">
        <v>467</v>
      </c>
      <c r="F81" s="13"/>
      <c r="G81" s="13"/>
      <c r="H81" s="3" t="s">
        <v>447</v>
      </c>
      <c r="I81" s="3" t="s">
        <v>468</v>
      </c>
      <c r="J81" s="3"/>
      <c r="K81" s="362" t="s">
        <v>1772</v>
      </c>
      <c r="L81" s="362" t="s">
        <v>1358</v>
      </c>
      <c r="M81" s="362" t="s">
        <v>1853</v>
      </c>
    </row>
    <row r="82" spans="1:13" ht="105" x14ac:dyDescent="0.25">
      <c r="A82" s="3" t="s">
        <v>172</v>
      </c>
      <c r="B82" s="3">
        <v>81</v>
      </c>
      <c r="C82" s="3" t="s">
        <v>218</v>
      </c>
      <c r="D82" s="3" t="s">
        <v>218</v>
      </c>
      <c r="E82" s="3" t="s">
        <v>219</v>
      </c>
      <c r="F82" s="13">
        <v>67601</v>
      </c>
      <c r="G82" s="13">
        <v>102490</v>
      </c>
      <c r="H82" s="3" t="s">
        <v>173</v>
      </c>
      <c r="I82" s="3" t="s">
        <v>220</v>
      </c>
      <c r="J82" s="3"/>
      <c r="K82" s="362" t="s">
        <v>1374</v>
      </c>
      <c r="L82" s="362" t="s">
        <v>1358</v>
      </c>
      <c r="M82" s="362" t="s">
        <v>1853</v>
      </c>
    </row>
    <row r="83" spans="1:13" ht="105" x14ac:dyDescent="0.25">
      <c r="A83" s="3" t="s">
        <v>172</v>
      </c>
      <c r="B83" s="3">
        <v>82</v>
      </c>
      <c r="C83" s="3" t="s">
        <v>221</v>
      </c>
      <c r="D83" s="3" t="s">
        <v>221</v>
      </c>
      <c r="E83" s="3" t="s">
        <v>222</v>
      </c>
      <c r="F83" s="13">
        <v>50262</v>
      </c>
      <c r="G83" s="13">
        <v>68218</v>
      </c>
      <c r="H83" s="3" t="s">
        <v>173</v>
      </c>
      <c r="I83" s="3" t="s">
        <v>223</v>
      </c>
      <c r="J83" s="3"/>
      <c r="K83" s="480" t="s">
        <v>1775</v>
      </c>
      <c r="L83" s="362" t="s">
        <v>1358</v>
      </c>
      <c r="M83" s="362" t="s">
        <v>1864</v>
      </c>
    </row>
    <row r="84" spans="1:13" ht="135" x14ac:dyDescent="0.25">
      <c r="A84" s="3" t="s">
        <v>586</v>
      </c>
      <c r="B84" s="3">
        <v>83</v>
      </c>
      <c r="C84" s="3" t="s">
        <v>221</v>
      </c>
      <c r="D84" s="3" t="s">
        <v>221</v>
      </c>
      <c r="E84" s="3" t="s">
        <v>222</v>
      </c>
      <c r="F84" s="13">
        <v>50262</v>
      </c>
      <c r="G84" s="13">
        <v>68218</v>
      </c>
      <c r="H84" s="3" t="s">
        <v>747</v>
      </c>
      <c r="I84" s="3" t="s">
        <v>748</v>
      </c>
      <c r="J84" s="3"/>
      <c r="K84" s="482"/>
      <c r="L84" s="362" t="s">
        <v>1358</v>
      </c>
      <c r="M84" s="362" t="s">
        <v>1864</v>
      </c>
    </row>
    <row r="85" spans="1:13" ht="105" x14ac:dyDescent="0.25">
      <c r="A85" s="3" t="s">
        <v>21</v>
      </c>
      <c r="B85" s="3">
        <v>84</v>
      </c>
      <c r="C85" s="3" t="s">
        <v>53</v>
      </c>
      <c r="D85" s="3" t="s">
        <v>53</v>
      </c>
      <c r="E85" s="3" t="s">
        <v>54</v>
      </c>
      <c r="F85" s="3" t="s">
        <v>55</v>
      </c>
      <c r="G85" s="3" t="s">
        <v>56</v>
      </c>
      <c r="H85" s="3" t="s">
        <v>23</v>
      </c>
      <c r="I85" s="3" t="s">
        <v>57</v>
      </c>
      <c r="J85" s="3"/>
      <c r="K85" s="482"/>
      <c r="L85" s="362" t="s">
        <v>1358</v>
      </c>
      <c r="M85" s="362" t="s">
        <v>1864</v>
      </c>
    </row>
    <row r="86" spans="1:13" ht="60" x14ac:dyDescent="0.25">
      <c r="A86" s="3" t="s">
        <v>1018</v>
      </c>
      <c r="B86" s="3">
        <v>85</v>
      </c>
      <c r="C86" s="3" t="s">
        <v>1019</v>
      </c>
      <c r="D86" s="3" t="s">
        <v>1019</v>
      </c>
      <c r="E86" s="3" t="s">
        <v>222</v>
      </c>
      <c r="F86" s="13">
        <v>50261.613300032914</v>
      </c>
      <c r="G86" s="13">
        <v>68218</v>
      </c>
      <c r="H86" s="3" t="s">
        <v>969</v>
      </c>
      <c r="I86" s="3" t="s">
        <v>970</v>
      </c>
      <c r="J86" s="12"/>
      <c r="K86" s="482"/>
      <c r="L86" s="362" t="s">
        <v>1358</v>
      </c>
      <c r="M86" s="362" t="s">
        <v>1864</v>
      </c>
    </row>
    <row r="87" spans="1:13" ht="45" x14ac:dyDescent="0.25">
      <c r="A87" s="3" t="s">
        <v>172</v>
      </c>
      <c r="B87" s="3">
        <v>86</v>
      </c>
      <c r="C87" s="3" t="s">
        <v>224</v>
      </c>
      <c r="D87" s="3" t="s">
        <v>224</v>
      </c>
      <c r="E87" s="3" t="s">
        <v>225</v>
      </c>
      <c r="F87" s="13">
        <v>64208</v>
      </c>
      <c r="G87" s="13">
        <v>57287</v>
      </c>
      <c r="H87" s="3" t="s">
        <v>173</v>
      </c>
      <c r="I87" s="3"/>
      <c r="J87" s="3"/>
      <c r="K87" s="482"/>
      <c r="L87" s="362" t="s">
        <v>1358</v>
      </c>
      <c r="M87" s="362" t="s">
        <v>1864</v>
      </c>
    </row>
    <row r="88" spans="1:13" ht="75" x14ac:dyDescent="0.25">
      <c r="A88" s="3" t="s">
        <v>586</v>
      </c>
      <c r="B88" s="3">
        <v>87</v>
      </c>
      <c r="C88" s="3" t="s">
        <v>224</v>
      </c>
      <c r="D88" s="3" t="s">
        <v>224</v>
      </c>
      <c r="E88" s="3" t="s">
        <v>749</v>
      </c>
      <c r="F88" s="13">
        <v>64208.472627000003</v>
      </c>
      <c r="G88" s="13">
        <v>57287</v>
      </c>
      <c r="H88" s="3" t="s">
        <v>750</v>
      </c>
      <c r="I88" s="3" t="s">
        <v>751</v>
      </c>
      <c r="J88" s="3"/>
      <c r="K88" s="484"/>
      <c r="L88" s="362" t="s">
        <v>1358</v>
      </c>
      <c r="M88" s="362" t="s">
        <v>1864</v>
      </c>
    </row>
    <row r="89" spans="1:13" ht="75" customHeight="1" x14ac:dyDescent="0.25">
      <c r="A89" s="3" t="s">
        <v>450</v>
      </c>
      <c r="B89" s="3">
        <v>88</v>
      </c>
      <c r="C89" s="3" t="s">
        <v>469</v>
      </c>
      <c r="D89" s="3" t="s">
        <v>469</v>
      </c>
      <c r="E89" s="3" t="s">
        <v>470</v>
      </c>
      <c r="F89" s="13"/>
      <c r="G89" s="13"/>
      <c r="H89" s="3" t="s">
        <v>447</v>
      </c>
      <c r="I89" s="3" t="s">
        <v>471</v>
      </c>
      <c r="J89" s="3"/>
      <c r="K89" s="480" t="s">
        <v>1773</v>
      </c>
      <c r="L89" s="480" t="s">
        <v>1820</v>
      </c>
      <c r="M89" s="362" t="s">
        <v>1854</v>
      </c>
    </row>
    <row r="90" spans="1:13" ht="255" x14ac:dyDescent="0.25">
      <c r="A90" s="3" t="s">
        <v>21</v>
      </c>
      <c r="B90" s="3">
        <v>89</v>
      </c>
      <c r="C90" s="3" t="s">
        <v>58</v>
      </c>
      <c r="D90" s="3" t="s">
        <v>58</v>
      </c>
      <c r="E90" s="3" t="s">
        <v>59</v>
      </c>
      <c r="F90" s="13">
        <v>21608</v>
      </c>
      <c r="G90" s="13">
        <v>147074</v>
      </c>
      <c r="H90" s="3" t="s">
        <v>23</v>
      </c>
      <c r="I90" s="3" t="s">
        <v>60</v>
      </c>
      <c r="J90" s="3"/>
      <c r="K90" s="482"/>
      <c r="L90" s="482"/>
      <c r="M90" s="362" t="s">
        <v>1854</v>
      </c>
    </row>
    <row r="91" spans="1:13" ht="135" x14ac:dyDescent="0.25">
      <c r="A91" s="3" t="s">
        <v>172</v>
      </c>
      <c r="B91" s="3">
        <v>90</v>
      </c>
      <c r="C91" s="3" t="s">
        <v>58</v>
      </c>
      <c r="D91" s="3" t="s">
        <v>58</v>
      </c>
      <c r="E91" s="3" t="s">
        <v>59</v>
      </c>
      <c r="F91" s="13">
        <v>21608</v>
      </c>
      <c r="G91" s="13">
        <v>147074</v>
      </c>
      <c r="H91" s="3" t="s">
        <v>173</v>
      </c>
      <c r="I91" s="3" t="s">
        <v>226</v>
      </c>
      <c r="J91" s="3"/>
      <c r="K91" s="482"/>
      <c r="L91" s="482"/>
      <c r="M91" s="362" t="s">
        <v>1854</v>
      </c>
    </row>
    <row r="92" spans="1:13" ht="120" x14ac:dyDescent="0.25">
      <c r="A92" s="3" t="s">
        <v>586</v>
      </c>
      <c r="B92" s="3">
        <v>91</v>
      </c>
      <c r="C92" s="3" t="s">
        <v>58</v>
      </c>
      <c r="D92" s="3" t="s">
        <v>58</v>
      </c>
      <c r="E92" s="3" t="s">
        <v>752</v>
      </c>
      <c r="F92" s="13">
        <v>21608</v>
      </c>
      <c r="G92" s="13">
        <v>147074</v>
      </c>
      <c r="H92" s="3" t="s">
        <v>753</v>
      </c>
      <c r="I92" s="3" t="s">
        <v>754</v>
      </c>
      <c r="J92" s="12" t="s">
        <v>141</v>
      </c>
      <c r="K92" s="482"/>
      <c r="L92" s="482"/>
      <c r="M92" s="362" t="s">
        <v>1854</v>
      </c>
    </row>
    <row r="93" spans="1:13" ht="90" x14ac:dyDescent="0.25">
      <c r="A93" s="3" t="s">
        <v>1018</v>
      </c>
      <c r="B93" s="3">
        <v>92</v>
      </c>
      <c r="C93" s="3" t="s">
        <v>58</v>
      </c>
      <c r="D93" s="3" t="s">
        <v>58</v>
      </c>
      <c r="E93" s="3" t="s">
        <v>59</v>
      </c>
      <c r="F93" s="13">
        <v>21608</v>
      </c>
      <c r="G93" s="13">
        <v>147074</v>
      </c>
      <c r="H93" s="3" t="s">
        <v>969</v>
      </c>
      <c r="I93" s="3" t="s">
        <v>1099</v>
      </c>
      <c r="J93" s="12" t="s">
        <v>972</v>
      </c>
      <c r="K93" s="484"/>
      <c r="L93" s="484"/>
      <c r="M93" s="362" t="s">
        <v>1854</v>
      </c>
    </row>
    <row r="94" spans="1:13" ht="90" x14ac:dyDescent="0.25">
      <c r="A94" s="3" t="s">
        <v>172</v>
      </c>
      <c r="B94" s="3">
        <v>93</v>
      </c>
      <c r="C94" s="3" t="s">
        <v>227</v>
      </c>
      <c r="D94" s="3" t="s">
        <v>227</v>
      </c>
      <c r="E94" s="3" t="s">
        <v>228</v>
      </c>
      <c r="F94" s="13">
        <v>19892</v>
      </c>
      <c r="G94" s="13">
        <v>47062</v>
      </c>
      <c r="H94" s="3" t="s">
        <v>173</v>
      </c>
      <c r="I94" s="3" t="s">
        <v>229</v>
      </c>
      <c r="J94" s="3"/>
      <c r="K94" s="480" t="s">
        <v>1774</v>
      </c>
      <c r="L94" s="362" t="s">
        <v>1358</v>
      </c>
      <c r="M94" s="362" t="s">
        <v>1855</v>
      </c>
    </row>
    <row r="95" spans="1:13" ht="120" x14ac:dyDescent="0.25">
      <c r="A95" s="3" t="s">
        <v>586</v>
      </c>
      <c r="B95" s="3">
        <v>94</v>
      </c>
      <c r="C95" s="3" t="s">
        <v>227</v>
      </c>
      <c r="D95" s="3" t="s">
        <v>227</v>
      </c>
      <c r="E95" s="3" t="s">
        <v>755</v>
      </c>
      <c r="F95" s="13">
        <v>19892</v>
      </c>
      <c r="G95" s="13">
        <v>47062</v>
      </c>
      <c r="H95" s="3" t="s">
        <v>753</v>
      </c>
      <c r="I95" s="3" t="s">
        <v>756</v>
      </c>
      <c r="J95" s="12" t="s">
        <v>141</v>
      </c>
      <c r="K95" s="482"/>
      <c r="L95" s="362" t="s">
        <v>1358</v>
      </c>
      <c r="M95" s="362" t="s">
        <v>1855</v>
      </c>
    </row>
    <row r="96" spans="1:13" ht="75" x14ac:dyDescent="0.25">
      <c r="A96" s="4" t="s">
        <v>1018</v>
      </c>
      <c r="B96" s="3">
        <v>95</v>
      </c>
      <c r="C96" s="4" t="s">
        <v>227</v>
      </c>
      <c r="D96" s="3" t="s">
        <v>227</v>
      </c>
      <c r="E96" s="3" t="s">
        <v>228</v>
      </c>
      <c r="F96" s="13">
        <v>19892.438438747886</v>
      </c>
      <c r="G96" s="13">
        <v>47062</v>
      </c>
      <c r="H96" s="13" t="s">
        <v>969</v>
      </c>
      <c r="I96" s="3" t="s">
        <v>971</v>
      </c>
      <c r="J96" s="4"/>
      <c r="K96" s="484"/>
      <c r="L96" s="362" t="s">
        <v>1358</v>
      </c>
      <c r="M96" s="362" t="s">
        <v>1855</v>
      </c>
    </row>
    <row r="97" spans="1:13" ht="60" x14ac:dyDescent="0.25">
      <c r="A97" s="3" t="s">
        <v>21</v>
      </c>
      <c r="B97" s="3">
        <v>96</v>
      </c>
      <c r="C97" s="3" t="s">
        <v>61</v>
      </c>
      <c r="D97" s="3" t="s">
        <v>61</v>
      </c>
      <c r="E97" s="3" t="s">
        <v>62</v>
      </c>
      <c r="F97" s="13">
        <v>28507</v>
      </c>
      <c r="G97" s="13">
        <v>49418</v>
      </c>
      <c r="H97" s="3" t="s">
        <v>23</v>
      </c>
      <c r="I97" s="3" t="s">
        <v>63</v>
      </c>
      <c r="J97" s="3"/>
      <c r="K97" s="362" t="s">
        <v>1152</v>
      </c>
      <c r="L97" s="362" t="s">
        <v>1358</v>
      </c>
      <c r="M97" s="362" t="s">
        <v>1864</v>
      </c>
    </row>
    <row r="98" spans="1:13" ht="150" x14ac:dyDescent="0.25">
      <c r="A98" s="3" t="s">
        <v>172</v>
      </c>
      <c r="B98" s="3">
        <v>97</v>
      </c>
      <c r="C98" s="3" t="s">
        <v>61</v>
      </c>
      <c r="D98" s="3" t="s">
        <v>61</v>
      </c>
      <c r="E98" s="3" t="s">
        <v>230</v>
      </c>
      <c r="F98" s="13">
        <v>28507</v>
      </c>
      <c r="G98" s="13">
        <v>49418</v>
      </c>
      <c r="H98" s="3" t="s">
        <v>173</v>
      </c>
      <c r="I98" s="3" t="s">
        <v>231</v>
      </c>
      <c r="J98" s="3"/>
      <c r="K98" s="362" t="s">
        <v>1152</v>
      </c>
      <c r="L98" s="362" t="s">
        <v>1358</v>
      </c>
      <c r="M98" s="362" t="s">
        <v>1864</v>
      </c>
    </row>
    <row r="99" spans="1:13" ht="60" x14ac:dyDescent="0.25">
      <c r="A99" s="3" t="s">
        <v>21</v>
      </c>
      <c r="B99" s="3">
        <v>98</v>
      </c>
      <c r="C99" s="3" t="s">
        <v>64</v>
      </c>
      <c r="D99" s="3" t="s">
        <v>64</v>
      </c>
      <c r="E99" s="3" t="s">
        <v>65</v>
      </c>
      <c r="F99" s="13">
        <v>57728</v>
      </c>
      <c r="G99" s="13">
        <v>99640</v>
      </c>
      <c r="H99" s="3" t="s">
        <v>23</v>
      </c>
      <c r="I99" s="3" t="s">
        <v>66</v>
      </c>
      <c r="J99" s="3"/>
      <c r="K99" s="362" t="s">
        <v>1230</v>
      </c>
      <c r="L99" s="362" t="s">
        <v>1358</v>
      </c>
      <c r="M99" s="362" t="s">
        <v>1864</v>
      </c>
    </row>
    <row r="100" spans="1:13" ht="150" x14ac:dyDescent="0.25">
      <c r="A100" s="3" t="s">
        <v>586</v>
      </c>
      <c r="B100" s="3">
        <v>99</v>
      </c>
      <c r="C100" s="3" t="s">
        <v>790</v>
      </c>
      <c r="D100" s="3" t="s">
        <v>790</v>
      </c>
      <c r="E100" s="3" t="s">
        <v>791</v>
      </c>
      <c r="F100" s="13">
        <v>241812.10714483808</v>
      </c>
      <c r="G100" s="13">
        <v>592223</v>
      </c>
      <c r="H100" s="3" t="s">
        <v>588</v>
      </c>
      <c r="I100" s="3" t="s">
        <v>792</v>
      </c>
      <c r="J100" s="304" t="s">
        <v>1229</v>
      </c>
      <c r="K100" s="362" t="s">
        <v>1405</v>
      </c>
      <c r="L100" s="362" t="s">
        <v>1812</v>
      </c>
      <c r="M100" s="362" t="s">
        <v>1856</v>
      </c>
    </row>
    <row r="101" spans="1:13" ht="75" x14ac:dyDescent="0.25">
      <c r="A101" s="3" t="s">
        <v>586</v>
      </c>
      <c r="B101" s="3">
        <v>100</v>
      </c>
      <c r="C101" s="3">
        <v>1116</v>
      </c>
      <c r="D101" s="3">
        <v>1116</v>
      </c>
      <c r="E101" s="3" t="s">
        <v>793</v>
      </c>
      <c r="F101" s="13">
        <v>31055</v>
      </c>
      <c r="G101" s="13">
        <v>44495</v>
      </c>
      <c r="H101" s="3" t="s">
        <v>588</v>
      </c>
      <c r="I101" s="3" t="s">
        <v>794</v>
      </c>
      <c r="J101" s="12" t="s">
        <v>141</v>
      </c>
      <c r="K101" s="362" t="s">
        <v>1776</v>
      </c>
      <c r="L101" s="362" t="s">
        <v>1813</v>
      </c>
      <c r="M101" s="362" t="s">
        <v>1864</v>
      </c>
    </row>
    <row r="102" spans="1:13" ht="75" x14ac:dyDescent="0.25">
      <c r="A102" s="3" t="s">
        <v>450</v>
      </c>
      <c r="B102" s="3">
        <v>101</v>
      </c>
      <c r="C102" s="3" t="s">
        <v>472</v>
      </c>
      <c r="D102" s="3" t="s">
        <v>472</v>
      </c>
      <c r="E102" s="3" t="s">
        <v>17</v>
      </c>
      <c r="F102" s="13"/>
      <c r="G102" s="13"/>
      <c r="H102" s="3" t="s">
        <v>447</v>
      </c>
      <c r="I102" s="3" t="s">
        <v>473</v>
      </c>
      <c r="J102" s="12" t="s">
        <v>1465</v>
      </c>
      <c r="K102" s="480" t="s">
        <v>1777</v>
      </c>
      <c r="L102" s="362" t="s">
        <v>1358</v>
      </c>
      <c r="M102" s="479" t="s">
        <v>1832</v>
      </c>
    </row>
    <row r="103" spans="1:13" ht="165" x14ac:dyDescent="0.25">
      <c r="A103" s="3" t="s">
        <v>15</v>
      </c>
      <c r="B103" s="3">
        <v>102</v>
      </c>
      <c r="C103" s="3" t="s">
        <v>16</v>
      </c>
      <c r="D103" s="3" t="s">
        <v>16</v>
      </c>
      <c r="E103" s="3" t="s">
        <v>17</v>
      </c>
      <c r="F103" s="3"/>
      <c r="G103" s="3"/>
      <c r="H103" s="3" t="s">
        <v>19</v>
      </c>
      <c r="I103" s="3" t="s">
        <v>18</v>
      </c>
      <c r="J103" s="3" t="s">
        <v>20</v>
      </c>
      <c r="K103" s="484"/>
      <c r="L103" s="362" t="s">
        <v>1358</v>
      </c>
      <c r="M103" s="483"/>
    </row>
    <row r="104" spans="1:13" ht="120" x14ac:dyDescent="0.25">
      <c r="A104" s="3" t="s">
        <v>21</v>
      </c>
      <c r="B104" s="3">
        <v>103</v>
      </c>
      <c r="C104" s="3" t="s">
        <v>67</v>
      </c>
      <c r="D104" s="3" t="s">
        <v>68</v>
      </c>
      <c r="E104" s="3" t="s">
        <v>69</v>
      </c>
      <c r="F104" s="13">
        <v>36902</v>
      </c>
      <c r="G104" s="13">
        <v>32924</v>
      </c>
      <c r="H104" s="3" t="s">
        <v>23</v>
      </c>
      <c r="I104" s="3" t="s">
        <v>70</v>
      </c>
      <c r="J104" s="3"/>
      <c r="K104" s="362" t="s">
        <v>1751</v>
      </c>
      <c r="L104" s="362" t="s">
        <v>1358</v>
      </c>
      <c r="M104" s="362" t="s">
        <v>1864</v>
      </c>
    </row>
    <row r="105" spans="1:13" ht="90" x14ac:dyDescent="0.25">
      <c r="A105" s="3" t="s">
        <v>21</v>
      </c>
      <c r="B105" s="3">
        <v>104</v>
      </c>
      <c r="C105" s="3" t="s">
        <v>71</v>
      </c>
      <c r="D105" s="3" t="s">
        <v>67</v>
      </c>
      <c r="E105" s="3" t="s">
        <v>72</v>
      </c>
      <c r="F105" s="13">
        <v>29938</v>
      </c>
      <c r="G105" s="13">
        <v>26711</v>
      </c>
      <c r="H105" s="3" t="s">
        <v>23</v>
      </c>
      <c r="I105" s="3" t="s">
        <v>70</v>
      </c>
      <c r="J105" s="3"/>
      <c r="K105" s="362" t="s">
        <v>1750</v>
      </c>
      <c r="L105" s="362" t="s">
        <v>1358</v>
      </c>
      <c r="M105" s="362" t="s">
        <v>1864</v>
      </c>
    </row>
    <row r="106" spans="1:13" ht="120" x14ac:dyDescent="0.25">
      <c r="A106" s="3" t="s">
        <v>586</v>
      </c>
      <c r="B106" s="3">
        <v>105</v>
      </c>
      <c r="C106" s="3" t="s">
        <v>795</v>
      </c>
      <c r="D106" s="3" t="s">
        <v>795</v>
      </c>
      <c r="E106" s="3" t="s">
        <v>796</v>
      </c>
      <c r="F106" s="13"/>
      <c r="G106" s="13"/>
      <c r="H106" s="3" t="s">
        <v>588</v>
      </c>
      <c r="I106" s="3" t="s">
        <v>797</v>
      </c>
      <c r="J106" s="12"/>
      <c r="K106" s="362" t="s">
        <v>1477</v>
      </c>
      <c r="L106" s="362" t="s">
        <v>1358</v>
      </c>
      <c r="M106" s="362" t="s">
        <v>1857</v>
      </c>
    </row>
    <row r="107" spans="1:13" ht="45" x14ac:dyDescent="0.25">
      <c r="A107" s="3" t="s">
        <v>586</v>
      </c>
      <c r="B107" s="3">
        <v>106</v>
      </c>
      <c r="C107" s="3" t="s">
        <v>795</v>
      </c>
      <c r="D107" s="3" t="s">
        <v>795</v>
      </c>
      <c r="E107" s="3" t="s">
        <v>796</v>
      </c>
      <c r="F107" s="13"/>
      <c r="G107" s="13"/>
      <c r="H107" s="3" t="s">
        <v>798</v>
      </c>
      <c r="I107" s="3" t="s">
        <v>1404</v>
      </c>
      <c r="J107" s="12"/>
      <c r="K107" s="362" t="s">
        <v>1478</v>
      </c>
      <c r="L107" s="362" t="s">
        <v>1358</v>
      </c>
      <c r="M107" s="362" t="s">
        <v>1358</v>
      </c>
    </row>
    <row r="108" spans="1:13" ht="45" x14ac:dyDescent="0.25">
      <c r="A108" s="3" t="s">
        <v>450</v>
      </c>
      <c r="B108" s="3">
        <v>107</v>
      </c>
      <c r="C108" s="3" t="s">
        <v>474</v>
      </c>
      <c r="D108" s="3" t="s">
        <v>474</v>
      </c>
      <c r="E108" s="3" t="s">
        <v>475</v>
      </c>
      <c r="F108" s="13"/>
      <c r="G108" s="13"/>
      <c r="H108" s="3" t="s">
        <v>447</v>
      </c>
      <c r="I108" s="3" t="s">
        <v>476</v>
      </c>
      <c r="J108" s="3"/>
      <c r="K108" s="362" t="s">
        <v>1778</v>
      </c>
      <c r="L108" s="362" t="s">
        <v>1358</v>
      </c>
      <c r="M108" s="362" t="s">
        <v>1864</v>
      </c>
    </row>
    <row r="109" spans="1:13" ht="195" x14ac:dyDescent="0.25">
      <c r="A109" s="3" t="s">
        <v>172</v>
      </c>
      <c r="B109" s="3">
        <v>108</v>
      </c>
      <c r="C109" s="3" t="s">
        <v>232</v>
      </c>
      <c r="D109" s="3" t="s">
        <v>232</v>
      </c>
      <c r="E109" s="3" t="s">
        <v>233</v>
      </c>
      <c r="F109" s="13">
        <v>212477</v>
      </c>
      <c r="G109" s="13">
        <v>496450</v>
      </c>
      <c r="H109" s="3" t="s">
        <v>173</v>
      </c>
      <c r="I109" s="3" t="s">
        <v>234</v>
      </c>
      <c r="J109" s="12" t="s">
        <v>1229</v>
      </c>
      <c r="K109" s="362" t="s">
        <v>1779</v>
      </c>
      <c r="L109" s="362" t="s">
        <v>1814</v>
      </c>
      <c r="M109" s="362" t="s">
        <v>1858</v>
      </c>
    </row>
    <row r="110" spans="1:13" ht="60" x14ac:dyDescent="0.25">
      <c r="A110" s="3" t="s">
        <v>21</v>
      </c>
      <c r="B110" s="3">
        <v>109</v>
      </c>
      <c r="C110" s="3" t="s">
        <v>73</v>
      </c>
      <c r="D110" s="3" t="s">
        <v>73</v>
      </c>
      <c r="E110" s="3" t="s">
        <v>74</v>
      </c>
      <c r="F110" s="13">
        <v>144659</v>
      </c>
      <c r="G110" s="13">
        <v>57061</v>
      </c>
      <c r="H110" s="3" t="s">
        <v>23</v>
      </c>
      <c r="I110" s="3" t="s">
        <v>75</v>
      </c>
      <c r="J110" s="3"/>
      <c r="K110" s="362" t="s">
        <v>1132</v>
      </c>
      <c r="L110" s="362" t="s">
        <v>1358</v>
      </c>
      <c r="M110" s="362" t="s">
        <v>1862</v>
      </c>
    </row>
    <row r="111" spans="1:13" ht="90" x14ac:dyDescent="0.25">
      <c r="A111" s="3" t="s">
        <v>1126</v>
      </c>
      <c r="B111" s="3">
        <v>110</v>
      </c>
      <c r="C111" s="3" t="s">
        <v>1766</v>
      </c>
      <c r="D111" s="3" t="s">
        <v>1766</v>
      </c>
      <c r="E111" s="3" t="s">
        <v>1767</v>
      </c>
      <c r="F111" s="13">
        <v>14163.699615799831</v>
      </c>
      <c r="G111" s="13">
        <v>22438</v>
      </c>
      <c r="H111" s="3" t="s">
        <v>1127</v>
      </c>
      <c r="I111" s="3" t="s">
        <v>1768</v>
      </c>
      <c r="J111" s="3"/>
      <c r="K111" s="362" t="s">
        <v>1770</v>
      </c>
      <c r="L111" s="362" t="s">
        <v>1358</v>
      </c>
      <c r="M111" s="362" t="s">
        <v>1358</v>
      </c>
    </row>
    <row r="112" spans="1:13" ht="120" x14ac:dyDescent="0.25">
      <c r="A112" s="3" t="s">
        <v>21</v>
      </c>
      <c r="B112" s="3">
        <v>111</v>
      </c>
      <c r="C112" s="3" t="s">
        <v>76</v>
      </c>
      <c r="D112" s="3" t="s">
        <v>76</v>
      </c>
      <c r="E112" s="3" t="s">
        <v>77</v>
      </c>
      <c r="F112" s="13"/>
      <c r="G112" s="13"/>
      <c r="H112" s="3" t="s">
        <v>23</v>
      </c>
      <c r="I112" s="3" t="s">
        <v>78</v>
      </c>
      <c r="J112" s="3"/>
      <c r="K112" s="474" t="s">
        <v>1780</v>
      </c>
      <c r="L112" s="362" t="s">
        <v>1358</v>
      </c>
      <c r="M112" s="362" t="s">
        <v>1859</v>
      </c>
    </row>
    <row r="113" spans="1:13" ht="120" x14ac:dyDescent="0.25">
      <c r="A113" s="3" t="s">
        <v>172</v>
      </c>
      <c r="B113" s="3">
        <v>112</v>
      </c>
      <c r="C113" s="3" t="s">
        <v>235</v>
      </c>
      <c r="D113" s="3" t="s">
        <v>235</v>
      </c>
      <c r="E113" s="3" t="s">
        <v>236</v>
      </c>
      <c r="F113" s="13">
        <v>69623</v>
      </c>
      <c r="G113" s="13">
        <v>91514</v>
      </c>
      <c r="H113" s="3" t="s">
        <v>173</v>
      </c>
      <c r="I113" s="3" t="s">
        <v>237</v>
      </c>
      <c r="J113" s="3"/>
      <c r="K113" s="475" t="s">
        <v>1781</v>
      </c>
      <c r="L113" s="362" t="s">
        <v>1358</v>
      </c>
      <c r="M113" s="362" t="s">
        <v>1849</v>
      </c>
    </row>
    <row r="114" spans="1:13" ht="105" x14ac:dyDescent="0.25">
      <c r="A114" s="3" t="s">
        <v>172</v>
      </c>
      <c r="B114" s="3">
        <v>113</v>
      </c>
      <c r="C114" s="3" t="s">
        <v>238</v>
      </c>
      <c r="D114" s="3" t="s">
        <v>238</v>
      </c>
      <c r="E114" s="3" t="s">
        <v>239</v>
      </c>
      <c r="F114" s="13">
        <v>41890</v>
      </c>
      <c r="G114" s="13">
        <v>67634</v>
      </c>
      <c r="H114" s="3" t="s">
        <v>173</v>
      </c>
      <c r="I114" s="3" t="s">
        <v>240</v>
      </c>
      <c r="J114" s="309" t="s">
        <v>1258</v>
      </c>
      <c r="K114" s="480" t="s">
        <v>1231</v>
      </c>
      <c r="L114" s="480" t="s">
        <v>1815</v>
      </c>
      <c r="M114" s="362" t="s">
        <v>1864</v>
      </c>
    </row>
    <row r="115" spans="1:13" ht="105" x14ac:dyDescent="0.25">
      <c r="A115" s="3" t="s">
        <v>172</v>
      </c>
      <c r="B115" s="3">
        <v>114</v>
      </c>
      <c r="C115" s="3" t="s">
        <v>241</v>
      </c>
      <c r="D115" s="3" t="s">
        <v>241</v>
      </c>
      <c r="E115" s="3" t="s">
        <v>242</v>
      </c>
      <c r="F115" s="13">
        <v>28648</v>
      </c>
      <c r="G115" s="13">
        <v>42830</v>
      </c>
      <c r="H115" s="3" t="s">
        <v>173</v>
      </c>
      <c r="I115" s="3" t="s">
        <v>243</v>
      </c>
      <c r="J115" s="310" t="s">
        <v>1321</v>
      </c>
      <c r="K115" s="484"/>
      <c r="L115" s="484"/>
      <c r="M115" s="362" t="s">
        <v>1864</v>
      </c>
    </row>
    <row r="116" spans="1:13" ht="210" x14ac:dyDescent="0.25">
      <c r="A116" s="3" t="s">
        <v>172</v>
      </c>
      <c r="B116" s="3">
        <v>115</v>
      </c>
      <c r="C116" s="3" t="s">
        <v>244</v>
      </c>
      <c r="D116" s="3" t="s">
        <v>244</v>
      </c>
      <c r="E116" s="3" t="s">
        <v>245</v>
      </c>
      <c r="F116" s="13">
        <v>263936.12996477546</v>
      </c>
      <c r="G116" s="13">
        <v>340346</v>
      </c>
      <c r="H116" s="3" t="s">
        <v>174</v>
      </c>
      <c r="I116" s="3" t="s">
        <v>246</v>
      </c>
      <c r="J116" s="304" t="s">
        <v>1257</v>
      </c>
      <c r="K116" s="475" t="s">
        <v>1401</v>
      </c>
      <c r="L116" s="362" t="s">
        <v>1358</v>
      </c>
      <c r="M116" s="362" t="s">
        <v>1847</v>
      </c>
    </row>
    <row r="117" spans="1:13" ht="120" x14ac:dyDescent="0.25">
      <c r="A117" s="3" t="s">
        <v>1020</v>
      </c>
      <c r="B117" s="3">
        <v>116</v>
      </c>
      <c r="C117" s="3">
        <v>2606</v>
      </c>
      <c r="D117" s="3">
        <v>2606</v>
      </c>
      <c r="E117" s="3" t="s">
        <v>1041</v>
      </c>
      <c r="F117" s="13">
        <v>391983</v>
      </c>
      <c r="G117" s="13">
        <v>413234</v>
      </c>
      <c r="H117" s="3" t="s">
        <v>1022</v>
      </c>
      <c r="I117" s="3" t="s">
        <v>1042</v>
      </c>
      <c r="J117" s="12"/>
      <c r="K117" s="474" t="s">
        <v>1782</v>
      </c>
      <c r="L117" s="362" t="s">
        <v>1358</v>
      </c>
      <c r="M117" s="362" t="s">
        <v>1847</v>
      </c>
    </row>
    <row r="118" spans="1:13" ht="45" x14ac:dyDescent="0.25">
      <c r="A118" s="3" t="s">
        <v>586</v>
      </c>
      <c r="B118" s="3">
        <v>117</v>
      </c>
      <c r="C118" s="3" t="s">
        <v>799</v>
      </c>
      <c r="D118" s="3" t="s">
        <v>799</v>
      </c>
      <c r="E118" s="3" t="s">
        <v>800</v>
      </c>
      <c r="F118" s="13">
        <v>154293.33968100001</v>
      </c>
      <c r="G118" s="13">
        <v>137661</v>
      </c>
      <c r="H118" s="3" t="s">
        <v>798</v>
      </c>
      <c r="I118" s="3" t="s">
        <v>801</v>
      </c>
      <c r="J118" s="12" t="s">
        <v>1321</v>
      </c>
      <c r="K118" s="362" t="s">
        <v>1402</v>
      </c>
      <c r="L118" s="362" t="s">
        <v>1816</v>
      </c>
      <c r="M118" s="362" t="s">
        <v>1849</v>
      </c>
    </row>
    <row r="119" spans="1:13" ht="90" x14ac:dyDescent="0.25">
      <c r="A119" s="3" t="s">
        <v>586</v>
      </c>
      <c r="B119" s="3">
        <v>118</v>
      </c>
      <c r="C119" s="3" t="s">
        <v>802</v>
      </c>
      <c r="D119" s="3" t="s">
        <v>802</v>
      </c>
      <c r="E119" s="3" t="s">
        <v>803</v>
      </c>
      <c r="F119" s="13">
        <v>1834768.285506</v>
      </c>
      <c r="G119" s="13">
        <v>1636986</v>
      </c>
      <c r="H119" s="3" t="s">
        <v>798</v>
      </c>
      <c r="I119" s="3" t="s">
        <v>804</v>
      </c>
      <c r="J119" s="12"/>
      <c r="K119" s="474" t="s">
        <v>1403</v>
      </c>
      <c r="L119" s="362" t="s">
        <v>1358</v>
      </c>
      <c r="M119" s="362" t="s">
        <v>1864</v>
      </c>
    </row>
    <row r="120" spans="1:13" ht="45" x14ac:dyDescent="0.25">
      <c r="A120" s="3" t="s">
        <v>586</v>
      </c>
      <c r="B120" s="3">
        <v>119</v>
      </c>
      <c r="C120" s="3" t="s">
        <v>805</v>
      </c>
      <c r="D120" s="3" t="s">
        <v>805</v>
      </c>
      <c r="E120" s="3" t="s">
        <v>806</v>
      </c>
      <c r="F120" s="13">
        <v>649445.15777699999</v>
      </c>
      <c r="G120" s="13">
        <v>579437</v>
      </c>
      <c r="H120" s="3" t="s">
        <v>798</v>
      </c>
      <c r="I120" s="3" t="s">
        <v>807</v>
      </c>
      <c r="J120" s="286" t="s">
        <v>141</v>
      </c>
      <c r="K120" s="493" t="s">
        <v>1322</v>
      </c>
      <c r="L120" s="362" t="s">
        <v>1358</v>
      </c>
      <c r="M120" s="362" t="s">
        <v>1864</v>
      </c>
    </row>
    <row r="121" spans="1:13" ht="45" x14ac:dyDescent="0.25">
      <c r="A121" s="3" t="s">
        <v>586</v>
      </c>
      <c r="B121" s="3">
        <v>120</v>
      </c>
      <c r="C121" s="3" t="s">
        <v>808</v>
      </c>
      <c r="D121" s="3" t="s">
        <v>808</v>
      </c>
      <c r="E121" s="3" t="s">
        <v>809</v>
      </c>
      <c r="F121" s="13">
        <v>1616594.873751</v>
      </c>
      <c r="G121" s="13">
        <v>1442331</v>
      </c>
      <c r="H121" s="3" t="s">
        <v>798</v>
      </c>
      <c r="I121" s="3" t="s">
        <v>810</v>
      </c>
      <c r="J121" s="12" t="s">
        <v>141</v>
      </c>
      <c r="K121" s="493" t="s">
        <v>1322</v>
      </c>
      <c r="L121" s="362" t="s">
        <v>1358</v>
      </c>
      <c r="M121" s="362" t="s">
        <v>1864</v>
      </c>
    </row>
    <row r="122" spans="1:13" ht="120" x14ac:dyDescent="0.25">
      <c r="A122" s="3" t="s">
        <v>172</v>
      </c>
      <c r="B122" s="3">
        <v>121</v>
      </c>
      <c r="C122" s="3" t="s">
        <v>247</v>
      </c>
      <c r="D122" s="3" t="s">
        <v>248</v>
      </c>
      <c r="E122" s="3" t="s">
        <v>249</v>
      </c>
      <c r="F122" s="13">
        <v>101070</v>
      </c>
      <c r="G122" s="13">
        <v>120656</v>
      </c>
      <c r="H122" s="3" t="s">
        <v>173</v>
      </c>
      <c r="I122" s="3" t="s">
        <v>250</v>
      </c>
      <c r="J122" s="307" t="s">
        <v>1321</v>
      </c>
      <c r="K122" s="488" t="s">
        <v>1323</v>
      </c>
      <c r="L122" s="480" t="s">
        <v>1817</v>
      </c>
      <c r="M122" s="362" t="s">
        <v>1847</v>
      </c>
    </row>
    <row r="123" spans="1:13" ht="75" x14ac:dyDescent="0.25">
      <c r="A123" s="3" t="s">
        <v>172</v>
      </c>
      <c r="B123" s="3">
        <v>122</v>
      </c>
      <c r="C123" s="3" t="s">
        <v>251</v>
      </c>
      <c r="D123" s="3" t="s">
        <v>247</v>
      </c>
      <c r="E123" s="3" t="s">
        <v>252</v>
      </c>
      <c r="F123" s="13">
        <v>87381</v>
      </c>
      <c r="G123" s="13">
        <v>116150</v>
      </c>
      <c r="H123" s="3" t="s">
        <v>173</v>
      </c>
      <c r="I123" s="3" t="s">
        <v>253</v>
      </c>
      <c r="J123" s="308" t="s">
        <v>1321</v>
      </c>
      <c r="K123" s="490"/>
      <c r="L123" s="484"/>
      <c r="M123" s="362" t="s">
        <v>1847</v>
      </c>
    </row>
    <row r="124" spans="1:13" ht="60" x14ac:dyDescent="0.25">
      <c r="A124" s="3" t="s">
        <v>172</v>
      </c>
      <c r="B124" s="3">
        <v>123</v>
      </c>
      <c r="C124" s="3" t="s">
        <v>254</v>
      </c>
      <c r="D124" s="3" t="s">
        <v>255</v>
      </c>
      <c r="E124" s="3" t="s">
        <v>256</v>
      </c>
      <c r="F124" s="13">
        <v>334879</v>
      </c>
      <c r="G124" s="13">
        <v>208150</v>
      </c>
      <c r="H124" s="3" t="s">
        <v>173</v>
      </c>
      <c r="I124" s="3" t="s">
        <v>257</v>
      </c>
      <c r="J124" s="3"/>
      <c r="K124" s="362" t="s">
        <v>1172</v>
      </c>
      <c r="L124" s="362" t="s">
        <v>1358</v>
      </c>
      <c r="M124" s="362" t="s">
        <v>1864</v>
      </c>
    </row>
    <row r="125" spans="1:13" ht="48" customHeight="1" x14ac:dyDescent="0.25">
      <c r="A125" s="3" t="s">
        <v>21</v>
      </c>
      <c r="B125" s="3">
        <v>124</v>
      </c>
      <c r="C125" s="3" t="s">
        <v>79</v>
      </c>
      <c r="D125" s="3" t="s">
        <v>80</v>
      </c>
      <c r="E125" s="3" t="s">
        <v>81</v>
      </c>
      <c r="F125" s="13">
        <v>99541</v>
      </c>
      <c r="G125" s="13">
        <v>213937</v>
      </c>
      <c r="H125" s="3" t="s">
        <v>23</v>
      </c>
      <c r="I125" s="3" t="s">
        <v>82</v>
      </c>
      <c r="J125" s="3"/>
      <c r="K125" s="488" t="s">
        <v>1783</v>
      </c>
      <c r="L125" s="362" t="s">
        <v>1358</v>
      </c>
      <c r="M125" s="479" t="s">
        <v>1860</v>
      </c>
    </row>
    <row r="126" spans="1:13" ht="90" x14ac:dyDescent="0.25">
      <c r="A126" s="3" t="s">
        <v>172</v>
      </c>
      <c r="B126" s="3">
        <v>125</v>
      </c>
      <c r="C126" s="3" t="s">
        <v>79</v>
      </c>
      <c r="D126" s="3" t="s">
        <v>80</v>
      </c>
      <c r="E126" s="3" t="s">
        <v>81</v>
      </c>
      <c r="F126" s="13">
        <v>99541</v>
      </c>
      <c r="G126" s="13">
        <v>213937</v>
      </c>
      <c r="H126" s="3" t="s">
        <v>173</v>
      </c>
      <c r="I126" s="3" t="s">
        <v>258</v>
      </c>
      <c r="J126" s="3"/>
      <c r="K126" s="489"/>
      <c r="L126" s="362" t="s">
        <v>1358</v>
      </c>
      <c r="M126" s="481"/>
    </row>
    <row r="127" spans="1:13" ht="165" x14ac:dyDescent="0.25">
      <c r="A127" s="3" t="s">
        <v>586</v>
      </c>
      <c r="B127" s="3">
        <v>126</v>
      </c>
      <c r="C127" s="3" t="s">
        <v>79</v>
      </c>
      <c r="D127" s="3">
        <v>2649</v>
      </c>
      <c r="E127" s="3" t="s">
        <v>81</v>
      </c>
      <c r="F127" s="13">
        <v>99541</v>
      </c>
      <c r="G127" s="13">
        <v>213937</v>
      </c>
      <c r="H127" s="3" t="s">
        <v>1792</v>
      </c>
      <c r="I127" s="3" t="s">
        <v>811</v>
      </c>
      <c r="J127" s="12" t="s">
        <v>874</v>
      </c>
      <c r="K127" s="489"/>
      <c r="L127" s="362" t="s">
        <v>1358</v>
      </c>
      <c r="M127" s="481"/>
    </row>
    <row r="128" spans="1:13" ht="135" x14ac:dyDescent="0.25">
      <c r="A128" s="3" t="s">
        <v>586</v>
      </c>
      <c r="B128" s="3">
        <v>127</v>
      </c>
      <c r="C128" s="3" t="s">
        <v>79</v>
      </c>
      <c r="D128" s="3" t="s">
        <v>80</v>
      </c>
      <c r="E128" s="3" t="s">
        <v>81</v>
      </c>
      <c r="F128" s="13">
        <v>99541</v>
      </c>
      <c r="G128" s="13">
        <v>213937</v>
      </c>
      <c r="H128" s="3" t="s">
        <v>747</v>
      </c>
      <c r="I128" s="3" t="s">
        <v>812</v>
      </c>
      <c r="J128" s="12" t="s">
        <v>813</v>
      </c>
      <c r="K128" s="490"/>
      <c r="L128" s="362" t="s">
        <v>1358</v>
      </c>
      <c r="M128" s="483"/>
    </row>
    <row r="129" spans="1:13" ht="45" x14ac:dyDescent="0.25">
      <c r="A129" s="3" t="s">
        <v>21</v>
      </c>
      <c r="B129" s="3">
        <v>128</v>
      </c>
      <c r="C129" s="3" t="s">
        <v>83</v>
      </c>
      <c r="D129" s="3" t="s">
        <v>84</v>
      </c>
      <c r="E129" s="3" t="s">
        <v>85</v>
      </c>
      <c r="F129" s="13">
        <v>666636</v>
      </c>
      <c r="G129" s="13">
        <v>429953</v>
      </c>
      <c r="H129" s="3" t="s">
        <v>23</v>
      </c>
      <c r="I129" s="3" t="s">
        <v>86</v>
      </c>
      <c r="J129" s="3"/>
      <c r="K129" s="488" t="s">
        <v>1791</v>
      </c>
      <c r="L129" s="362" t="s">
        <v>1358</v>
      </c>
      <c r="M129" s="362" t="s">
        <v>1864</v>
      </c>
    </row>
    <row r="130" spans="1:13" ht="75" x14ac:dyDescent="0.25">
      <c r="A130" s="3" t="s">
        <v>172</v>
      </c>
      <c r="B130" s="3">
        <v>129</v>
      </c>
      <c r="C130" s="3" t="s">
        <v>83</v>
      </c>
      <c r="D130" s="3" t="s">
        <v>84</v>
      </c>
      <c r="E130" s="3" t="s">
        <v>259</v>
      </c>
      <c r="F130" s="13">
        <v>666636</v>
      </c>
      <c r="G130" s="13">
        <v>429953</v>
      </c>
      <c r="H130" s="3" t="s">
        <v>173</v>
      </c>
      <c r="I130" s="3" t="s">
        <v>260</v>
      </c>
      <c r="J130" s="3"/>
      <c r="K130" s="490"/>
      <c r="L130" s="362" t="s">
        <v>1358</v>
      </c>
      <c r="M130" s="362" t="s">
        <v>1864</v>
      </c>
    </row>
    <row r="131" spans="1:13" ht="120.75" customHeight="1" x14ac:dyDescent="0.25">
      <c r="A131" s="3" t="s">
        <v>172</v>
      </c>
      <c r="B131" s="3">
        <v>130</v>
      </c>
      <c r="C131" s="14" t="s">
        <v>261</v>
      </c>
      <c r="D131" s="15" t="s">
        <v>262</v>
      </c>
      <c r="E131" s="16" t="s">
        <v>263</v>
      </c>
      <c r="F131" s="17">
        <v>314711.16687201528</v>
      </c>
      <c r="G131" s="17">
        <v>439520</v>
      </c>
      <c r="H131" s="401" t="s">
        <v>174</v>
      </c>
      <c r="I131" s="407" t="s">
        <v>264</v>
      </c>
      <c r="J131" s="392" t="s">
        <v>1321</v>
      </c>
      <c r="K131" s="488" t="s">
        <v>1324</v>
      </c>
      <c r="L131" s="480" t="s">
        <v>1818</v>
      </c>
      <c r="M131" s="494" t="s">
        <v>1849</v>
      </c>
    </row>
    <row r="132" spans="1:13" ht="125.25" customHeight="1" x14ac:dyDescent="0.25">
      <c r="A132" s="3" t="s">
        <v>172</v>
      </c>
      <c r="B132" s="3">
        <v>131</v>
      </c>
      <c r="C132" s="14" t="s">
        <v>265</v>
      </c>
      <c r="D132" s="15" t="s">
        <v>261</v>
      </c>
      <c r="E132" s="16" t="s">
        <v>266</v>
      </c>
      <c r="F132" s="17">
        <v>133871.3476483663</v>
      </c>
      <c r="G132" s="17">
        <v>197106</v>
      </c>
      <c r="H132" s="401"/>
      <c r="I132" s="408"/>
      <c r="J132" s="391" t="s">
        <v>1321</v>
      </c>
      <c r="K132" s="490"/>
      <c r="L132" s="484"/>
      <c r="M132" s="494" t="s">
        <v>1849</v>
      </c>
    </row>
    <row r="133" spans="1:13" ht="150" customHeight="1" x14ac:dyDescent="0.25">
      <c r="A133" s="3" t="s">
        <v>172</v>
      </c>
      <c r="B133" s="3">
        <v>132</v>
      </c>
      <c r="C133" s="3" t="s">
        <v>267</v>
      </c>
      <c r="D133" s="3" t="s">
        <v>267</v>
      </c>
      <c r="E133" s="3" t="s">
        <v>268</v>
      </c>
      <c r="F133" s="13"/>
      <c r="G133" s="13"/>
      <c r="H133" s="3" t="s">
        <v>173</v>
      </c>
      <c r="I133" s="3" t="s">
        <v>269</v>
      </c>
      <c r="J133" s="409" t="s">
        <v>1368</v>
      </c>
      <c r="K133" s="480" t="s">
        <v>1784</v>
      </c>
      <c r="L133" s="480" t="s">
        <v>1819</v>
      </c>
      <c r="M133" s="362" t="s">
        <v>1864</v>
      </c>
    </row>
    <row r="134" spans="1:13" ht="90" x14ac:dyDescent="0.25">
      <c r="A134" s="3" t="s">
        <v>450</v>
      </c>
      <c r="B134" s="3">
        <v>133</v>
      </c>
      <c r="C134" s="3" t="s">
        <v>267</v>
      </c>
      <c r="D134" s="3" t="s">
        <v>267</v>
      </c>
      <c r="E134" s="3" t="s">
        <v>477</v>
      </c>
      <c r="F134" s="13"/>
      <c r="G134" s="13"/>
      <c r="H134" s="3" t="s">
        <v>447</v>
      </c>
      <c r="I134" s="3" t="s">
        <v>478</v>
      </c>
      <c r="J134" s="410"/>
      <c r="K134" s="482"/>
      <c r="L134" s="482"/>
      <c r="M134" s="362" t="s">
        <v>1864</v>
      </c>
    </row>
    <row r="135" spans="1:13" ht="75" x14ac:dyDescent="0.25">
      <c r="A135" s="3" t="s">
        <v>21</v>
      </c>
      <c r="B135" s="3">
        <v>134</v>
      </c>
      <c r="C135" s="3" t="s">
        <v>87</v>
      </c>
      <c r="D135" s="3" t="s">
        <v>87</v>
      </c>
      <c r="E135" s="3" t="s">
        <v>88</v>
      </c>
      <c r="F135" s="3" t="s">
        <v>89</v>
      </c>
      <c r="G135" s="3" t="s">
        <v>90</v>
      </c>
      <c r="H135" s="3" t="s">
        <v>23</v>
      </c>
      <c r="I135" s="3" t="s">
        <v>91</v>
      </c>
      <c r="J135" s="410"/>
      <c r="K135" s="482"/>
      <c r="L135" s="482"/>
      <c r="M135" s="362" t="s">
        <v>1864</v>
      </c>
    </row>
    <row r="136" spans="1:13" ht="90" x14ac:dyDescent="0.25">
      <c r="A136" s="3" t="s">
        <v>450</v>
      </c>
      <c r="B136" s="3">
        <v>135</v>
      </c>
      <c r="C136" s="3" t="s">
        <v>479</v>
      </c>
      <c r="D136" s="3" t="s">
        <v>479</v>
      </c>
      <c r="E136" s="3" t="s">
        <v>480</v>
      </c>
      <c r="F136" s="13"/>
      <c r="G136" s="13"/>
      <c r="H136" s="3" t="s">
        <v>447</v>
      </c>
      <c r="I136" s="3" t="s">
        <v>481</v>
      </c>
      <c r="J136" s="410"/>
      <c r="K136" s="482"/>
      <c r="L136" s="482"/>
      <c r="M136" s="362" t="s">
        <v>1864</v>
      </c>
    </row>
    <row r="137" spans="1:13" ht="75" x14ac:dyDescent="0.25">
      <c r="A137" s="3" t="s">
        <v>1020</v>
      </c>
      <c r="B137" s="3">
        <v>136</v>
      </c>
      <c r="C137" s="3">
        <v>2712</v>
      </c>
      <c r="D137" s="3">
        <v>2712</v>
      </c>
      <c r="E137" s="3" t="s">
        <v>1034</v>
      </c>
      <c r="F137" s="13">
        <v>8170</v>
      </c>
      <c r="G137" s="13">
        <v>9115</v>
      </c>
      <c r="H137" s="3" t="s">
        <v>1022</v>
      </c>
      <c r="I137" s="3" t="s">
        <v>1035</v>
      </c>
      <c r="J137" s="410"/>
      <c r="K137" s="482"/>
      <c r="L137" s="482"/>
      <c r="M137" s="362" t="s">
        <v>1864</v>
      </c>
    </row>
    <row r="138" spans="1:13" ht="60" x14ac:dyDescent="0.25">
      <c r="A138" s="3" t="s">
        <v>21</v>
      </c>
      <c r="B138" s="3">
        <v>137</v>
      </c>
      <c r="C138" s="3" t="s">
        <v>92</v>
      </c>
      <c r="D138" s="3" t="s">
        <v>92</v>
      </c>
      <c r="E138" s="3" t="s">
        <v>93</v>
      </c>
      <c r="F138" s="3" t="s">
        <v>94</v>
      </c>
      <c r="G138" s="3" t="s">
        <v>95</v>
      </c>
      <c r="H138" s="3" t="s">
        <v>23</v>
      </c>
      <c r="I138" s="3" t="s">
        <v>96</v>
      </c>
      <c r="J138" s="410"/>
      <c r="K138" s="482"/>
      <c r="L138" s="482"/>
      <c r="M138" s="362" t="s">
        <v>1864</v>
      </c>
    </row>
    <row r="139" spans="1:13" ht="75" x14ac:dyDescent="0.25">
      <c r="A139" s="3" t="s">
        <v>1020</v>
      </c>
      <c r="B139" s="3">
        <v>138</v>
      </c>
      <c r="C139" s="3">
        <v>2714</v>
      </c>
      <c r="D139" s="3">
        <v>2714</v>
      </c>
      <c r="E139" s="3" t="s">
        <v>1036</v>
      </c>
      <c r="F139" s="13">
        <v>11631</v>
      </c>
      <c r="G139" s="13">
        <v>10377</v>
      </c>
      <c r="H139" s="3" t="s">
        <v>1022</v>
      </c>
      <c r="I139" s="3" t="s">
        <v>1037</v>
      </c>
      <c r="J139" s="411"/>
      <c r="K139" s="484"/>
      <c r="L139" s="484"/>
      <c r="M139" s="362" t="s">
        <v>1864</v>
      </c>
    </row>
    <row r="140" spans="1:13" ht="45" x14ac:dyDescent="0.25">
      <c r="A140" s="3" t="s">
        <v>450</v>
      </c>
      <c r="B140" s="3">
        <v>139</v>
      </c>
      <c r="C140" s="3" t="s">
        <v>482</v>
      </c>
      <c r="D140" s="3" t="s">
        <v>482</v>
      </c>
      <c r="E140" s="3" t="s">
        <v>483</v>
      </c>
      <c r="F140" s="13"/>
      <c r="G140" s="13"/>
      <c r="H140" s="3" t="s">
        <v>447</v>
      </c>
      <c r="I140" s="3" t="s">
        <v>484</v>
      </c>
      <c r="J140" s="3"/>
      <c r="K140" s="488" t="s">
        <v>1325</v>
      </c>
      <c r="L140" s="362" t="s">
        <v>1358</v>
      </c>
      <c r="M140" s="362" t="s">
        <v>1358</v>
      </c>
    </row>
    <row r="141" spans="1:13" ht="120" x14ac:dyDescent="0.25">
      <c r="A141" s="3" t="s">
        <v>21</v>
      </c>
      <c r="B141" s="3">
        <v>140</v>
      </c>
      <c r="C141" s="3" t="s">
        <v>97</v>
      </c>
      <c r="D141" s="3" t="s">
        <v>97</v>
      </c>
      <c r="E141" s="3" t="s">
        <v>98</v>
      </c>
      <c r="F141" s="13">
        <v>8259</v>
      </c>
      <c r="G141" s="13">
        <v>24631</v>
      </c>
      <c r="H141" s="3" t="s">
        <v>23</v>
      </c>
      <c r="I141" s="3" t="s">
        <v>99</v>
      </c>
      <c r="J141" s="3"/>
      <c r="K141" s="489"/>
      <c r="L141" s="362" t="s">
        <v>1358</v>
      </c>
      <c r="M141" s="362" t="s">
        <v>1861</v>
      </c>
    </row>
    <row r="142" spans="1:13" ht="75" x14ac:dyDescent="0.25">
      <c r="A142" s="3" t="s">
        <v>172</v>
      </c>
      <c r="B142" s="3">
        <v>141</v>
      </c>
      <c r="C142" s="3" t="s">
        <v>97</v>
      </c>
      <c r="D142" s="3" t="s">
        <v>97</v>
      </c>
      <c r="E142" s="3" t="s">
        <v>270</v>
      </c>
      <c r="F142" s="13">
        <v>8259</v>
      </c>
      <c r="G142" s="13">
        <v>24631</v>
      </c>
      <c r="H142" s="3" t="s">
        <v>173</v>
      </c>
      <c r="I142" s="3" t="s">
        <v>271</v>
      </c>
      <c r="J142" s="3"/>
      <c r="K142" s="489"/>
      <c r="L142" s="362" t="s">
        <v>1358</v>
      </c>
      <c r="M142" s="362" t="s">
        <v>1861</v>
      </c>
    </row>
    <row r="143" spans="1:13" ht="108" x14ac:dyDescent="0.35">
      <c r="A143" s="3" t="s">
        <v>21</v>
      </c>
      <c r="B143" s="3">
        <v>142</v>
      </c>
      <c r="C143" s="3" t="s">
        <v>100</v>
      </c>
      <c r="D143" s="3" t="s">
        <v>100</v>
      </c>
      <c r="E143" s="3" t="s">
        <v>101</v>
      </c>
      <c r="F143" s="13">
        <v>5242</v>
      </c>
      <c r="G143" s="13">
        <v>21214</v>
      </c>
      <c r="H143" s="3" t="s">
        <v>23</v>
      </c>
      <c r="I143" s="3" t="s">
        <v>102</v>
      </c>
      <c r="J143" s="3"/>
      <c r="K143" s="489"/>
      <c r="L143" s="362" t="s">
        <v>1358</v>
      </c>
      <c r="M143" s="362" t="s">
        <v>1861</v>
      </c>
    </row>
    <row r="144" spans="1:13" ht="60" x14ac:dyDescent="0.25">
      <c r="A144" s="3" t="s">
        <v>172</v>
      </c>
      <c r="B144" s="3">
        <v>143</v>
      </c>
      <c r="C144" s="3" t="s">
        <v>100</v>
      </c>
      <c r="D144" s="3" t="s">
        <v>100</v>
      </c>
      <c r="E144" s="3" t="s">
        <v>272</v>
      </c>
      <c r="F144" s="13">
        <v>5242</v>
      </c>
      <c r="G144" s="13">
        <v>21214</v>
      </c>
      <c r="H144" s="3" t="s">
        <v>173</v>
      </c>
      <c r="I144" s="3" t="s">
        <v>273</v>
      </c>
      <c r="J144" s="3"/>
      <c r="K144" s="490"/>
      <c r="L144" s="362" t="s">
        <v>1358</v>
      </c>
      <c r="M144" s="362" t="s">
        <v>1861</v>
      </c>
    </row>
    <row r="145" spans="1:13" x14ac:dyDescent="0.25">
      <c r="A145" s="3"/>
      <c r="B145" s="3"/>
      <c r="C145" s="3"/>
      <c r="D145" s="3"/>
      <c r="E145" s="3"/>
      <c r="F145" s="13"/>
      <c r="G145" s="13"/>
      <c r="H145" s="3"/>
      <c r="I145" s="3"/>
      <c r="J145" s="3"/>
      <c r="K145" s="3"/>
      <c r="L145" s="3"/>
      <c r="M145" s="3"/>
    </row>
    <row r="166" s="252" customFormat="1" x14ac:dyDescent="0.25"/>
    <row r="167" s="252" customFormat="1" x14ac:dyDescent="0.25"/>
    <row r="168" s="252" customFormat="1" x14ac:dyDescent="0.25"/>
  </sheetData>
  <sortState ref="A2:M124">
    <sortCondition ref="C2:C124"/>
  </sortState>
  <mergeCells count="28">
    <mergeCell ref="M39:M41"/>
    <mergeCell ref="L2:L13"/>
    <mergeCell ref="M2:M13"/>
    <mergeCell ref="I131:I132"/>
    <mergeCell ref="J133:J139"/>
    <mergeCell ref="L122:L123"/>
    <mergeCell ref="L114:L115"/>
    <mergeCell ref="L89:L93"/>
    <mergeCell ref="M102:M103"/>
    <mergeCell ref="M125:M128"/>
    <mergeCell ref="K140:K144"/>
    <mergeCell ref="K133:K139"/>
    <mergeCell ref="K131:K132"/>
    <mergeCell ref="K129:K130"/>
    <mergeCell ref="L133:L139"/>
    <mergeCell ref="L131:L132"/>
    <mergeCell ref="H131:H132"/>
    <mergeCell ref="H2:H13"/>
    <mergeCell ref="I2:I13"/>
    <mergeCell ref="K83:K88"/>
    <mergeCell ref="K89:K93"/>
    <mergeCell ref="K94:K96"/>
    <mergeCell ref="J2:J13"/>
    <mergeCell ref="K2:K13"/>
    <mergeCell ref="K114:K115"/>
    <mergeCell ref="K122:K123"/>
    <mergeCell ref="K102:K103"/>
    <mergeCell ref="K125:K128"/>
  </mergeCells>
  <hyperlinks>
    <hyperlink ref="J69" location="'DRG0559'!A1" display="Se link"/>
    <hyperlink ref="J64" location="'DRG0556'!A1" display="Se link til beregning"/>
    <hyperlink ref="J78" location="'Bilag 0853'!A1" display="Se link til beregning"/>
    <hyperlink ref="J21" location="Trombvagt!A1" display="Se link til beregning"/>
    <hyperlink ref="J56" location="'omkostningsoplysn. MDC05'!A1" display="Se link til beregning: 'Omkostningsoplysn. MDC05'"/>
    <hyperlink ref="J62" location="'omkostningsoplysn. MDC05'!A1" display="Se link til beregning: 'Omkostningsoplysn. MDC05'"/>
    <hyperlink ref="J67" location="'omkostningsoplysn. MDC05'!A1" display="Se link til beregning: 'Omkostningsoplysn. MDC05'"/>
    <hyperlink ref="J68" location="'omkostningsoplysn. MDC05'!A1" display="Se link til beregning: 'Omkostningsoplysn. MDC05'"/>
    <hyperlink ref="I56" location="'Øvrig drift MDC05 '!A1" display="'Øvrig drift MDC05 '!A1"/>
    <hyperlink ref="I62" location="'Øvrig drift MDC05 '!A1" display="'Øvrig drift MDC05 '!A1"/>
    <hyperlink ref="I67" location="'Øvrig drift MDC05 '!A1" display="'Øvrig drift MDC05 '!A1"/>
    <hyperlink ref="I68" location="'Øvrig drift MDC05 '!A1" display="'Øvrig drift MDC05 '!A1"/>
    <hyperlink ref="J92" location="'Stor MWL'!A1" display="Se link til beregning"/>
    <hyperlink ref="J95" location="'Lille MWL'!A1" display="Se link til beregning"/>
    <hyperlink ref="J128" location="'vaskulariserede lapper'!A1" display="Se link til beregning "/>
    <hyperlink ref="J93" r:id="rId1"/>
    <hyperlink ref="J120" location="'DRG2628'!A1" display="Se link til beregning"/>
    <hyperlink ref="J121" location="'DRG2629'!A1" display="Se link til beregning"/>
    <hyperlink ref="J101" location="'DRG1116'!A1" display="Se link til beregning"/>
    <hyperlink ref="J109" location="'DRG1701'!A1" display="Se link til kommentar"/>
    <hyperlink ref="J114:J115" location="'DRG2501'!A1" display="Se udtræk fra eSundhed"/>
    <hyperlink ref="J116" location="'DRG2605'!A1" display="Se link til SSI's beregninger af 2605"/>
    <hyperlink ref="J118" location="'DRG2609'!A1" display="Se link til udtræk fra eSundhed"/>
    <hyperlink ref="J122" location="'DRG2644'!A1" display="Se link til udtræk fra eSundhed"/>
    <hyperlink ref="J123" location="'DRG2645'!A1" display="Se link til udtræk fra eSundhed"/>
    <hyperlink ref="J115" location="'DRG2502'!A1" display="Se link til udtræk fra eSundhed"/>
    <hyperlink ref="J133:J139" location="'DRG2701-2715'!A1" display="Se link til oversigt over taksterne for DRG 2701-2715"/>
    <hyperlink ref="J102" location="Robottakster!A1" display="Se link til beregninger af robottakster"/>
    <hyperlink ref="J100" location="'DRG 1101'!A1" display="Se link til kommentar"/>
    <hyperlink ref="K15" location="'DRG0113'!A1" display="'DRG0113'!A1"/>
    <hyperlink ref="K16" location="'DRG0113'!A1" display="'DRG0113'!A1"/>
    <hyperlink ref="K80" location="'DRG0876'!A1" display="'DRG0876'!A1"/>
    <hyperlink ref="J127" location="Aktivitet2013!A1" display="Se link til aktivitet 2013"/>
    <hyperlink ref="J132" location="'DRG 2657'!A1" display="Se link til udtræk fra eSundhed"/>
    <hyperlink ref="J131" location="'DRG 2656'!A1" display="Se link til udtræk fra eSundhed"/>
  </hyperlinks>
  <pageMargins left="0.70866141732283472" right="0.70866141732283472" top="0.74803149606299213" bottom="0.74803149606299213" header="0.31496062992125984" footer="0.31496062992125984"/>
  <pageSetup paperSize="9" scale="53" fitToHeight="0" orientation="landscape" r:id="rId2"/>
  <headerFooter>
    <oddHeader>&amp;CDRG - høringssvar til DRG-takster 2015</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
  <sheetViews>
    <sheetView workbookViewId="0">
      <selection activeCell="I33" sqref="I33"/>
    </sheetView>
  </sheetViews>
  <sheetFormatPr defaultColWidth="42" defaultRowHeight="15" x14ac:dyDescent="0.25"/>
  <cols>
    <col min="1" max="1" width="7.85546875" customWidth="1"/>
    <col min="2" max="2" width="11" customWidth="1"/>
    <col min="3" max="3" width="55.5703125" customWidth="1"/>
    <col min="4" max="4" width="12.140625" customWidth="1"/>
    <col min="5" max="5" width="12.7109375" customWidth="1"/>
    <col min="6" max="6" width="8.7109375" bestFit="1" customWidth="1"/>
    <col min="7" max="7" width="12.140625" customWidth="1"/>
    <col min="8" max="8" width="12.5703125" customWidth="1"/>
    <col min="9" max="9" width="20.7109375" customWidth="1"/>
    <col min="10" max="10" width="21.28515625" customWidth="1"/>
    <col min="11" max="11" width="18.7109375" customWidth="1"/>
  </cols>
  <sheetData>
    <row r="3" spans="1:11" ht="29.25" x14ac:dyDescent="0.25">
      <c r="A3" s="311" t="s">
        <v>1359</v>
      </c>
      <c r="B3" s="311" t="s">
        <v>1360</v>
      </c>
      <c r="C3" s="312" t="s">
        <v>1361</v>
      </c>
      <c r="D3" s="313" t="s">
        <v>10</v>
      </c>
      <c r="E3" s="313" t="s">
        <v>1</v>
      </c>
      <c r="F3" s="312" t="s">
        <v>1362</v>
      </c>
      <c r="G3" s="314" t="s">
        <v>1363</v>
      </c>
      <c r="H3" s="312" t="s">
        <v>1364</v>
      </c>
      <c r="I3" s="315" t="s">
        <v>1365</v>
      </c>
      <c r="J3" s="315" t="s">
        <v>1366</v>
      </c>
      <c r="K3" s="311" t="s">
        <v>1367</v>
      </c>
    </row>
    <row r="4" spans="1:11" ht="30" x14ac:dyDescent="0.25">
      <c r="A4" s="316" t="s">
        <v>1326</v>
      </c>
      <c r="B4" s="317" t="s">
        <v>1326</v>
      </c>
      <c r="C4" s="255" t="s">
        <v>1327</v>
      </c>
      <c r="D4" s="318">
        <v>84702.647205816407</v>
      </c>
      <c r="E4" s="318">
        <v>112031</v>
      </c>
      <c r="F4" s="316" t="s">
        <v>1328</v>
      </c>
      <c r="G4" s="321">
        <v>47</v>
      </c>
      <c r="H4" s="316">
        <v>50</v>
      </c>
      <c r="I4" s="319">
        <v>-27328.352794183593</v>
      </c>
      <c r="J4" s="320">
        <v>-0.24393563204991112</v>
      </c>
      <c r="K4" s="316" t="s">
        <v>1329</v>
      </c>
    </row>
    <row r="5" spans="1:11" x14ac:dyDescent="0.25">
      <c r="A5" s="316" t="s">
        <v>1330</v>
      </c>
      <c r="B5" s="317" t="s">
        <v>1330</v>
      </c>
      <c r="C5" s="255" t="s">
        <v>1331</v>
      </c>
      <c r="D5" s="318">
        <v>33886.560081944946</v>
      </c>
      <c r="E5" s="318">
        <v>31062</v>
      </c>
      <c r="F5" s="316"/>
      <c r="G5" s="321">
        <v>10</v>
      </c>
      <c r="H5" s="316">
        <v>10</v>
      </c>
      <c r="I5" s="319">
        <v>2824.5600819449464</v>
      </c>
      <c r="J5" s="320">
        <v>9.0932975402258268E-2</v>
      </c>
      <c r="K5" s="316" t="s">
        <v>1329</v>
      </c>
    </row>
    <row r="6" spans="1:11" x14ac:dyDescent="0.25">
      <c r="A6" s="316" t="s">
        <v>1332</v>
      </c>
      <c r="B6" s="317" t="s">
        <v>1332</v>
      </c>
      <c r="C6" s="255" t="s">
        <v>1333</v>
      </c>
      <c r="D6" s="318">
        <v>5071.2707638756119</v>
      </c>
      <c r="E6" s="318">
        <v>6259</v>
      </c>
      <c r="F6" s="316" t="s">
        <v>1328</v>
      </c>
      <c r="G6" s="321">
        <v>1</v>
      </c>
      <c r="H6" s="316">
        <v>4</v>
      </c>
      <c r="I6" s="319">
        <v>-1187.7292361243881</v>
      </c>
      <c r="J6" s="320">
        <v>-0.18976341845732356</v>
      </c>
      <c r="K6" s="316" t="s">
        <v>1329</v>
      </c>
    </row>
    <row r="7" spans="1:11" x14ac:dyDescent="0.25">
      <c r="A7" s="316" t="s">
        <v>1334</v>
      </c>
      <c r="B7" s="317" t="s">
        <v>1334</v>
      </c>
      <c r="C7" s="255" t="s">
        <v>1335</v>
      </c>
      <c r="D7" s="318">
        <v>2964.081172377314</v>
      </c>
      <c r="E7" s="318">
        <v>4086</v>
      </c>
      <c r="F7" s="316" t="s">
        <v>1328</v>
      </c>
      <c r="G7" s="321">
        <v>2</v>
      </c>
      <c r="H7" s="316">
        <v>1</v>
      </c>
      <c r="I7" s="319">
        <v>-1121.918827622686</v>
      </c>
      <c r="J7" s="320">
        <v>-0.27457631610932109</v>
      </c>
      <c r="K7" s="316" t="s">
        <v>1329</v>
      </c>
    </row>
    <row r="8" spans="1:11" x14ac:dyDescent="0.25">
      <c r="A8" s="316" t="s">
        <v>1336</v>
      </c>
      <c r="B8" s="317" t="s">
        <v>1336</v>
      </c>
      <c r="C8" s="255" t="s">
        <v>1337</v>
      </c>
      <c r="D8" s="318">
        <v>92815.32190355366</v>
      </c>
      <c r="E8" s="318">
        <v>67657</v>
      </c>
      <c r="F8" s="316"/>
      <c r="G8" s="321">
        <v>32</v>
      </c>
      <c r="H8" s="316">
        <v>27</v>
      </c>
      <c r="I8" s="319">
        <v>25158.32190355366</v>
      </c>
      <c r="J8" s="320">
        <v>0.37185098221253765</v>
      </c>
      <c r="K8" s="316" t="s">
        <v>1329</v>
      </c>
    </row>
    <row r="9" spans="1:11" x14ac:dyDescent="0.25">
      <c r="A9" s="316" t="s">
        <v>1338</v>
      </c>
      <c r="B9" s="317" t="s">
        <v>1338</v>
      </c>
      <c r="C9" s="255" t="s">
        <v>1339</v>
      </c>
      <c r="D9" s="318">
        <v>66644.4451511183</v>
      </c>
      <c r="E9" s="318">
        <v>23534</v>
      </c>
      <c r="F9" s="316"/>
      <c r="G9" s="321">
        <v>18</v>
      </c>
      <c r="H9" s="316">
        <v>23</v>
      </c>
      <c r="I9" s="319">
        <v>43110.4451511183</v>
      </c>
      <c r="J9" s="320">
        <v>1.8318367107639288</v>
      </c>
      <c r="K9" s="316" t="s">
        <v>1329</v>
      </c>
    </row>
    <row r="10" spans="1:11" x14ac:dyDescent="0.25">
      <c r="A10" s="316" t="s">
        <v>1340</v>
      </c>
      <c r="B10" s="317" t="s">
        <v>1340</v>
      </c>
      <c r="C10" s="255" t="s">
        <v>1341</v>
      </c>
      <c r="D10" s="318">
        <v>5664.6293339999993</v>
      </c>
      <c r="E10" s="318">
        <v>5054</v>
      </c>
      <c r="F10" s="316" t="s">
        <v>1328</v>
      </c>
      <c r="G10" s="321">
        <v>6</v>
      </c>
      <c r="H10" s="316">
        <v>10</v>
      </c>
      <c r="I10" s="319">
        <v>610.62933399999929</v>
      </c>
      <c r="J10" s="320">
        <v>0.12082099999999986</v>
      </c>
      <c r="K10" s="316" t="s">
        <v>1342</v>
      </c>
    </row>
    <row r="11" spans="1:11" x14ac:dyDescent="0.25">
      <c r="A11" s="316" t="s">
        <v>1343</v>
      </c>
      <c r="B11" s="317" t="s">
        <v>1343</v>
      </c>
      <c r="C11" s="255" t="s">
        <v>1344</v>
      </c>
      <c r="D11" s="318">
        <v>4790.1684915616952</v>
      </c>
      <c r="E11" s="318">
        <v>3686</v>
      </c>
      <c r="F11" s="316" t="s">
        <v>1328</v>
      </c>
      <c r="G11" s="321">
        <v>9</v>
      </c>
      <c r="H11" s="316">
        <v>14</v>
      </c>
      <c r="I11" s="319">
        <v>1104.1684915616952</v>
      </c>
      <c r="J11" s="320">
        <v>0.29955737698363949</v>
      </c>
      <c r="K11" s="316" t="s">
        <v>1329</v>
      </c>
    </row>
    <row r="12" spans="1:11" x14ac:dyDescent="0.25">
      <c r="A12" s="316" t="s">
        <v>1345</v>
      </c>
      <c r="B12" s="317" t="s">
        <v>1345</v>
      </c>
      <c r="C12" s="255" t="s">
        <v>950</v>
      </c>
      <c r="D12" s="318">
        <v>30053.895587563988</v>
      </c>
      <c r="E12" s="318">
        <v>27189</v>
      </c>
      <c r="F12" s="316"/>
      <c r="G12" s="321">
        <v>3</v>
      </c>
      <c r="H12" s="316">
        <v>6</v>
      </c>
      <c r="I12" s="319">
        <v>2864.8955875639876</v>
      </c>
      <c r="J12" s="320">
        <v>0.1053696563891275</v>
      </c>
      <c r="K12" s="316" t="s">
        <v>1329</v>
      </c>
    </row>
    <row r="13" spans="1:11" x14ac:dyDescent="0.25">
      <c r="A13" s="316" t="s">
        <v>1346</v>
      </c>
      <c r="B13" s="317" t="s">
        <v>1346</v>
      </c>
      <c r="C13" s="255" t="s">
        <v>1347</v>
      </c>
      <c r="D13" s="318">
        <v>5563.7026901963327</v>
      </c>
      <c r="E13" s="318">
        <v>17108</v>
      </c>
      <c r="F13" s="316" t="s">
        <v>1328</v>
      </c>
      <c r="G13" s="321">
        <v>30</v>
      </c>
      <c r="H13" s="316">
        <v>20</v>
      </c>
      <c r="I13" s="319">
        <v>-11544.297309803667</v>
      </c>
      <c r="J13" s="320">
        <v>-0.67478941488214095</v>
      </c>
      <c r="K13" s="316" t="s">
        <v>1329</v>
      </c>
    </row>
    <row r="14" spans="1:11" x14ac:dyDescent="0.25">
      <c r="A14" s="316" t="s">
        <v>1348</v>
      </c>
      <c r="B14" s="317" t="s">
        <v>1348</v>
      </c>
      <c r="C14" s="255" t="s">
        <v>1349</v>
      </c>
      <c r="D14" s="318">
        <v>22886.635527320013</v>
      </c>
      <c r="E14" s="318">
        <v>31967</v>
      </c>
      <c r="F14" s="316"/>
      <c r="G14" s="321">
        <v>4</v>
      </c>
      <c r="H14" s="316">
        <v>2</v>
      </c>
      <c r="I14" s="319">
        <v>-9080.3644726799866</v>
      </c>
      <c r="J14" s="320">
        <v>-0.28405432078956383</v>
      </c>
      <c r="K14" s="316" t="s">
        <v>1329</v>
      </c>
    </row>
    <row r="15" spans="1:11" ht="30" x14ac:dyDescent="0.25">
      <c r="A15" s="316" t="s">
        <v>1350</v>
      </c>
      <c r="B15" s="317" t="s">
        <v>1350</v>
      </c>
      <c r="C15" s="255" t="s">
        <v>1351</v>
      </c>
      <c r="D15" s="318">
        <v>8169.7016859009609</v>
      </c>
      <c r="E15" s="318">
        <v>9115</v>
      </c>
      <c r="F15" s="316" t="s">
        <v>1328</v>
      </c>
      <c r="G15" s="321">
        <v>9</v>
      </c>
      <c r="H15" s="316">
        <v>16</v>
      </c>
      <c r="I15" s="319">
        <v>-945.29831409903909</v>
      </c>
      <c r="J15" s="320">
        <v>-0.10370798838168284</v>
      </c>
      <c r="K15" s="316" t="s">
        <v>1329</v>
      </c>
    </row>
    <row r="16" spans="1:11" x14ac:dyDescent="0.25">
      <c r="A16" s="316" t="s">
        <v>1352</v>
      </c>
      <c r="B16" s="317" t="s">
        <v>1352</v>
      </c>
      <c r="C16" s="255" t="s">
        <v>1353</v>
      </c>
      <c r="D16" s="318">
        <v>8613.5366222036137</v>
      </c>
      <c r="E16" s="318">
        <v>9030</v>
      </c>
      <c r="F16" s="316" t="s">
        <v>1328</v>
      </c>
      <c r="G16" s="321">
        <v>11</v>
      </c>
      <c r="H16" s="316">
        <v>14</v>
      </c>
      <c r="I16" s="319">
        <v>-416.46337779638634</v>
      </c>
      <c r="J16" s="320">
        <v>-4.6119975392733811E-2</v>
      </c>
      <c r="K16" s="316" t="s">
        <v>1329</v>
      </c>
    </row>
    <row r="17" spans="1:11" ht="30" x14ac:dyDescent="0.25">
      <c r="A17" s="316" t="s">
        <v>1354</v>
      </c>
      <c r="B17" s="317" t="s">
        <v>1354</v>
      </c>
      <c r="C17" s="255" t="s">
        <v>1355</v>
      </c>
      <c r="D17" s="318">
        <v>11630.759517</v>
      </c>
      <c r="E17" s="318">
        <v>10377</v>
      </c>
      <c r="F17" s="316" t="s">
        <v>1328</v>
      </c>
      <c r="G17" s="321">
        <v>22</v>
      </c>
      <c r="H17" s="316">
        <v>21</v>
      </c>
      <c r="I17" s="319">
        <v>1253.7595170000004</v>
      </c>
      <c r="J17" s="320">
        <v>0.12082100000000004</v>
      </c>
      <c r="K17" s="316" t="s">
        <v>1342</v>
      </c>
    </row>
    <row r="18" spans="1:11" x14ac:dyDescent="0.25">
      <c r="A18" s="316" t="s">
        <v>1356</v>
      </c>
      <c r="B18" s="317" t="s">
        <v>1356</v>
      </c>
      <c r="C18" s="255" t="s">
        <v>1357</v>
      </c>
      <c r="D18" s="318">
        <v>8560.6375938514448</v>
      </c>
      <c r="E18" s="318">
        <v>7495</v>
      </c>
      <c r="F18" s="316" t="s">
        <v>1328</v>
      </c>
      <c r="G18" s="321">
        <v>4</v>
      </c>
      <c r="H18" s="316">
        <v>6</v>
      </c>
      <c r="I18" s="319">
        <v>1065.6375938514448</v>
      </c>
      <c r="J18" s="320">
        <v>0.14217979904622344</v>
      </c>
      <c r="K18" s="316" t="s">
        <v>1358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heetViews>
  <sheetFormatPr defaultRowHeight="15" x14ac:dyDescent="0.25"/>
  <cols>
    <col min="1" max="1" width="5" customWidth="1"/>
    <col min="2" max="2" width="36.570312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s>
  <sheetData>
    <row r="1" spans="1:15" x14ac:dyDescent="0.25">
      <c r="A1" t="s">
        <v>420</v>
      </c>
    </row>
    <row r="2" spans="1:15" ht="15.75" thickBot="1" x14ac:dyDescent="0.3"/>
    <row r="3" spans="1:15" ht="15.75" thickBot="1" x14ac:dyDescent="0.3">
      <c r="A3" s="287" t="s">
        <v>1232</v>
      </c>
      <c r="B3" s="288" t="s">
        <v>422</v>
      </c>
      <c r="C3" s="469" t="s">
        <v>423</v>
      </c>
      <c r="D3" s="470"/>
      <c r="E3" s="470"/>
      <c r="F3" s="471"/>
      <c r="G3" s="472" t="s">
        <v>424</v>
      </c>
      <c r="H3" s="470"/>
      <c r="I3" s="470"/>
      <c r="J3" s="473"/>
    </row>
    <row r="4" spans="1:15" ht="15.75" thickBot="1" x14ac:dyDescent="0.3">
      <c r="A4" s="287"/>
      <c r="B4" s="288"/>
      <c r="C4" s="469" t="s">
        <v>425</v>
      </c>
      <c r="D4" s="471"/>
      <c r="E4" s="472" t="s">
        <v>426</v>
      </c>
      <c r="F4" s="470"/>
      <c r="G4" s="470"/>
      <c r="H4" s="471"/>
      <c r="I4" s="472" t="s">
        <v>427</v>
      </c>
      <c r="J4" s="473"/>
    </row>
    <row r="5" spans="1:15" ht="15.75" thickBot="1" x14ac:dyDescent="0.3">
      <c r="A5" s="289"/>
      <c r="B5" s="290"/>
      <c r="C5" s="289" t="s">
        <v>1233</v>
      </c>
      <c r="D5" s="289" t="s">
        <v>429</v>
      </c>
      <c r="E5" s="289" t="s">
        <v>1233</v>
      </c>
      <c r="F5" s="289" t="s">
        <v>429</v>
      </c>
      <c r="G5" s="289" t="s">
        <v>1233</v>
      </c>
      <c r="H5" s="289" t="s">
        <v>429</v>
      </c>
      <c r="I5" s="289" t="s">
        <v>1233</v>
      </c>
      <c r="J5" s="290" t="s">
        <v>429</v>
      </c>
    </row>
    <row r="6" spans="1:15" ht="15.75" thickBot="1" x14ac:dyDescent="0.3">
      <c r="A6" s="291" t="s">
        <v>235</v>
      </c>
      <c r="B6" s="292" t="s">
        <v>1369</v>
      </c>
      <c r="C6" s="293"/>
      <c r="D6" s="293"/>
      <c r="E6" s="293"/>
      <c r="F6" s="293"/>
      <c r="G6" s="293"/>
      <c r="H6" s="293"/>
      <c r="I6" s="293">
        <v>6</v>
      </c>
      <c r="J6" s="294">
        <v>161889</v>
      </c>
      <c r="M6" s="293"/>
      <c r="N6" s="294"/>
      <c r="O6">
        <f>N6*M6</f>
        <v>0</v>
      </c>
    </row>
    <row r="7" spans="1:15" ht="15.75" thickBot="1" x14ac:dyDescent="0.3">
      <c r="A7" s="291" t="s">
        <v>235</v>
      </c>
      <c r="B7" s="292" t="s">
        <v>430</v>
      </c>
      <c r="C7" s="295"/>
      <c r="D7" s="295"/>
      <c r="E7" s="295">
        <v>931</v>
      </c>
      <c r="F7" s="296">
        <v>46712</v>
      </c>
      <c r="G7" s="295">
        <v>950</v>
      </c>
      <c r="H7" s="296">
        <v>43335</v>
      </c>
      <c r="I7" s="295">
        <v>849</v>
      </c>
      <c r="J7" s="296">
        <v>42675</v>
      </c>
      <c r="M7" s="295">
        <v>849</v>
      </c>
      <c r="N7" s="296">
        <v>42675</v>
      </c>
      <c r="O7">
        <f t="shared" ref="O7:O37" si="0">N7*M7</f>
        <v>36231075</v>
      </c>
    </row>
    <row r="8" spans="1:15" ht="15.75" thickBot="1" x14ac:dyDescent="0.3">
      <c r="A8" s="291" t="s">
        <v>235</v>
      </c>
      <c r="B8" s="292" t="s">
        <v>431</v>
      </c>
      <c r="C8" s="293"/>
      <c r="D8" s="293"/>
      <c r="E8" s="293">
        <v>81</v>
      </c>
      <c r="F8" s="294">
        <v>113597</v>
      </c>
      <c r="G8" s="293">
        <v>75</v>
      </c>
      <c r="H8" s="294">
        <v>44904</v>
      </c>
      <c r="I8" s="293">
        <v>136</v>
      </c>
      <c r="J8" s="294">
        <v>107375</v>
      </c>
      <c r="M8" s="293"/>
      <c r="N8" s="294"/>
      <c r="O8">
        <f t="shared" si="0"/>
        <v>0</v>
      </c>
    </row>
    <row r="9" spans="1:15" ht="15.75" thickBot="1" x14ac:dyDescent="0.3">
      <c r="A9" s="291" t="s">
        <v>235</v>
      </c>
      <c r="B9" s="292" t="s">
        <v>1234</v>
      </c>
      <c r="C9" s="295"/>
      <c r="D9" s="295"/>
      <c r="E9" s="295">
        <v>332</v>
      </c>
      <c r="F9" s="296">
        <v>78006</v>
      </c>
      <c r="G9" s="295">
        <v>289</v>
      </c>
      <c r="H9" s="296">
        <v>87103</v>
      </c>
      <c r="I9" s="295">
        <v>386</v>
      </c>
      <c r="J9" s="296">
        <v>73065</v>
      </c>
      <c r="M9" s="295">
        <v>386</v>
      </c>
      <c r="N9" s="296">
        <v>73065</v>
      </c>
      <c r="O9">
        <f t="shared" si="0"/>
        <v>28203090</v>
      </c>
    </row>
    <row r="10" spans="1:15" ht="15.75" thickBot="1" x14ac:dyDescent="0.3">
      <c r="A10" s="291" t="s">
        <v>235</v>
      </c>
      <c r="B10" s="292" t="s">
        <v>1235</v>
      </c>
      <c r="C10" s="293"/>
      <c r="D10" s="293"/>
      <c r="E10" s="293">
        <v>130</v>
      </c>
      <c r="F10" s="294">
        <v>71890</v>
      </c>
      <c r="G10" s="293">
        <v>227</v>
      </c>
      <c r="H10" s="294">
        <v>70289</v>
      </c>
      <c r="I10" s="293">
        <v>133</v>
      </c>
      <c r="J10" s="294">
        <v>67164</v>
      </c>
      <c r="M10" s="293">
        <v>133</v>
      </c>
      <c r="N10" s="294">
        <v>67164</v>
      </c>
      <c r="O10">
        <f t="shared" si="0"/>
        <v>8932812</v>
      </c>
    </row>
    <row r="11" spans="1:15" ht="15.75" thickBot="1" x14ac:dyDescent="0.3">
      <c r="A11" s="291" t="s">
        <v>235</v>
      </c>
      <c r="B11" s="292" t="s">
        <v>1236</v>
      </c>
      <c r="C11" s="295"/>
      <c r="D11" s="295"/>
      <c r="E11" s="295"/>
      <c r="F11" s="295"/>
      <c r="G11" s="295">
        <v>61</v>
      </c>
      <c r="H11" s="296">
        <v>107325</v>
      </c>
      <c r="I11" s="295">
        <v>89</v>
      </c>
      <c r="J11" s="296">
        <v>52622</v>
      </c>
      <c r="M11" s="295"/>
      <c r="N11" s="296"/>
      <c r="O11">
        <f t="shared" si="0"/>
        <v>0</v>
      </c>
    </row>
    <row r="12" spans="1:15" ht="15.75" thickBot="1" x14ac:dyDescent="0.3">
      <c r="A12" s="291" t="s">
        <v>235</v>
      </c>
      <c r="B12" s="292" t="s">
        <v>1237</v>
      </c>
      <c r="C12" s="293"/>
      <c r="D12" s="293"/>
      <c r="E12" s="293"/>
      <c r="F12" s="293"/>
      <c r="G12" s="293">
        <v>222</v>
      </c>
      <c r="H12" s="294">
        <v>78945</v>
      </c>
      <c r="I12" s="293">
        <v>149</v>
      </c>
      <c r="J12" s="294">
        <v>48931</v>
      </c>
      <c r="M12" s="293">
        <v>149</v>
      </c>
      <c r="N12" s="294">
        <v>48931</v>
      </c>
      <c r="O12">
        <f t="shared" si="0"/>
        <v>7290719</v>
      </c>
    </row>
    <row r="13" spans="1:15" ht="15.75" thickBot="1" x14ac:dyDescent="0.3">
      <c r="A13" s="291" t="s">
        <v>235</v>
      </c>
      <c r="B13" s="292" t="s">
        <v>432</v>
      </c>
      <c r="C13" s="295"/>
      <c r="D13" s="295"/>
      <c r="E13" s="295">
        <v>42</v>
      </c>
      <c r="F13" s="296">
        <v>109311</v>
      </c>
      <c r="G13" s="295">
        <v>38</v>
      </c>
      <c r="H13" s="296">
        <v>91384</v>
      </c>
      <c r="I13" s="295">
        <v>58</v>
      </c>
      <c r="J13" s="296">
        <v>83917</v>
      </c>
      <c r="M13" s="295">
        <v>58</v>
      </c>
      <c r="N13" s="296">
        <v>83917</v>
      </c>
      <c r="O13">
        <f t="shared" si="0"/>
        <v>4867186</v>
      </c>
    </row>
    <row r="14" spans="1:15" ht="15.75" thickBot="1" x14ac:dyDescent="0.3">
      <c r="A14" s="291" t="s">
        <v>235</v>
      </c>
      <c r="B14" s="292" t="s">
        <v>1238</v>
      </c>
      <c r="C14" s="293"/>
      <c r="D14" s="293"/>
      <c r="E14" s="293">
        <v>233</v>
      </c>
      <c r="F14" s="294">
        <v>89568</v>
      </c>
      <c r="G14" s="293">
        <v>158</v>
      </c>
      <c r="H14" s="294">
        <v>81888</v>
      </c>
      <c r="I14" s="293">
        <v>194</v>
      </c>
      <c r="J14" s="294">
        <v>80895</v>
      </c>
      <c r="M14" s="293">
        <v>194</v>
      </c>
      <c r="N14" s="294">
        <v>80895</v>
      </c>
      <c r="O14">
        <f t="shared" si="0"/>
        <v>15693630</v>
      </c>
    </row>
    <row r="15" spans="1:15" ht="15.75" thickBot="1" x14ac:dyDescent="0.3">
      <c r="A15" s="291" t="s">
        <v>235</v>
      </c>
      <c r="B15" s="292" t="s">
        <v>1239</v>
      </c>
      <c r="C15" s="295"/>
      <c r="D15" s="295"/>
      <c r="E15" s="295">
        <v>320</v>
      </c>
      <c r="F15" s="296">
        <v>56291</v>
      </c>
      <c r="G15" s="295">
        <v>428</v>
      </c>
      <c r="H15" s="296">
        <v>57733</v>
      </c>
      <c r="I15" s="295">
        <v>462</v>
      </c>
      <c r="J15" s="296">
        <v>44906</v>
      </c>
      <c r="M15" s="295">
        <v>462</v>
      </c>
      <c r="N15" s="296">
        <v>44906</v>
      </c>
      <c r="O15">
        <f t="shared" si="0"/>
        <v>20746572</v>
      </c>
    </row>
    <row r="16" spans="1:15" ht="15.75" thickBot="1" x14ac:dyDescent="0.3">
      <c r="A16" s="291" t="s">
        <v>235</v>
      </c>
      <c r="B16" s="292" t="s">
        <v>1240</v>
      </c>
      <c r="C16" s="293"/>
      <c r="D16" s="293"/>
      <c r="E16" s="293">
        <v>181</v>
      </c>
      <c r="F16" s="294">
        <v>66621</v>
      </c>
      <c r="G16" s="293">
        <v>167</v>
      </c>
      <c r="H16" s="294">
        <v>50385</v>
      </c>
      <c r="I16" s="294">
        <v>1915</v>
      </c>
      <c r="J16" s="294">
        <v>7821</v>
      </c>
      <c r="M16" s="294"/>
      <c r="N16" s="294"/>
      <c r="O16">
        <f t="shared" si="0"/>
        <v>0</v>
      </c>
    </row>
    <row r="17" spans="1:15" ht="15.75" thickBot="1" x14ac:dyDescent="0.3">
      <c r="A17" s="291" t="s">
        <v>235</v>
      </c>
      <c r="B17" s="292" t="s">
        <v>1241</v>
      </c>
      <c r="C17" s="295"/>
      <c r="D17" s="295"/>
      <c r="E17" s="295"/>
      <c r="F17" s="295"/>
      <c r="G17" s="295">
        <v>53</v>
      </c>
      <c r="H17" s="296">
        <v>54917</v>
      </c>
      <c r="I17" s="295">
        <v>75</v>
      </c>
      <c r="J17" s="296">
        <v>52281</v>
      </c>
      <c r="M17" s="295">
        <v>75</v>
      </c>
      <c r="N17" s="296">
        <v>52281</v>
      </c>
      <c r="O17">
        <f t="shared" si="0"/>
        <v>3921075</v>
      </c>
    </row>
    <row r="18" spans="1:15" ht="15.75" thickBot="1" x14ac:dyDescent="0.3">
      <c r="A18" s="291" t="s">
        <v>235</v>
      </c>
      <c r="B18" s="292" t="s">
        <v>433</v>
      </c>
      <c r="C18" s="293"/>
      <c r="D18" s="293"/>
      <c r="E18" s="293">
        <v>442</v>
      </c>
      <c r="F18" s="294">
        <v>38270</v>
      </c>
      <c r="G18" s="293">
        <v>26</v>
      </c>
      <c r="H18" s="294">
        <v>92890</v>
      </c>
      <c r="I18" s="293">
        <v>58</v>
      </c>
      <c r="J18" s="294">
        <v>59050</v>
      </c>
      <c r="M18" s="293">
        <v>58</v>
      </c>
      <c r="N18" s="294">
        <v>59050</v>
      </c>
      <c r="O18">
        <f t="shared" si="0"/>
        <v>3424900</v>
      </c>
    </row>
    <row r="19" spans="1:15" ht="15.75" thickBot="1" x14ac:dyDescent="0.3">
      <c r="A19" s="291" t="s">
        <v>235</v>
      </c>
      <c r="B19" s="292" t="s">
        <v>434</v>
      </c>
      <c r="C19" s="295"/>
      <c r="D19" s="295"/>
      <c r="E19" s="295">
        <v>232</v>
      </c>
      <c r="F19" s="296">
        <v>41691</v>
      </c>
      <c r="G19" s="295">
        <v>113</v>
      </c>
      <c r="H19" s="296">
        <v>50383</v>
      </c>
      <c r="I19" s="295">
        <v>1</v>
      </c>
      <c r="J19" s="296">
        <v>35967</v>
      </c>
      <c r="M19" s="295"/>
      <c r="N19" s="296"/>
      <c r="O19">
        <f t="shared" si="0"/>
        <v>0</v>
      </c>
    </row>
    <row r="20" spans="1:15" ht="15.75" thickBot="1" x14ac:dyDescent="0.3">
      <c r="A20" s="291" t="s">
        <v>235</v>
      </c>
      <c r="B20" s="292" t="s">
        <v>1370</v>
      </c>
      <c r="C20" s="293"/>
      <c r="D20" s="293"/>
      <c r="E20" s="293">
        <v>166</v>
      </c>
      <c r="F20" s="294">
        <v>80324</v>
      </c>
      <c r="G20" s="293">
        <v>71</v>
      </c>
      <c r="H20" s="294">
        <v>79607</v>
      </c>
      <c r="I20" s="293">
        <v>1</v>
      </c>
      <c r="J20" s="294">
        <v>109108</v>
      </c>
      <c r="M20" s="293"/>
      <c r="N20" s="294"/>
      <c r="O20">
        <f t="shared" si="0"/>
        <v>0</v>
      </c>
    </row>
    <row r="21" spans="1:15" ht="15.75" thickBot="1" x14ac:dyDescent="0.3">
      <c r="A21" s="291" t="s">
        <v>235</v>
      </c>
      <c r="B21" s="292" t="s">
        <v>1371</v>
      </c>
      <c r="C21" s="295"/>
      <c r="D21" s="295"/>
      <c r="E21" s="295">
        <v>2</v>
      </c>
      <c r="F21" s="296">
        <v>80611</v>
      </c>
      <c r="G21" s="295">
        <v>1</v>
      </c>
      <c r="H21" s="296">
        <v>16829</v>
      </c>
      <c r="I21" s="295"/>
      <c r="J21" s="295"/>
      <c r="M21" s="295"/>
      <c r="N21" s="295"/>
      <c r="O21">
        <f t="shared" si="0"/>
        <v>0</v>
      </c>
    </row>
    <row r="22" spans="1:15" ht="15.75" thickBot="1" x14ac:dyDescent="0.3">
      <c r="A22" s="291" t="s">
        <v>235</v>
      </c>
      <c r="B22" s="292" t="s">
        <v>1372</v>
      </c>
      <c r="C22" s="293"/>
      <c r="D22" s="293"/>
      <c r="E22" s="293">
        <v>4</v>
      </c>
      <c r="F22" s="294">
        <v>16181</v>
      </c>
      <c r="G22" s="293">
        <v>3</v>
      </c>
      <c r="H22" s="294">
        <v>13853</v>
      </c>
      <c r="I22" s="293"/>
      <c r="J22" s="293"/>
      <c r="M22" s="293"/>
      <c r="N22" s="293"/>
      <c r="O22">
        <f t="shared" si="0"/>
        <v>0</v>
      </c>
    </row>
    <row r="23" spans="1:15" ht="15.75" thickBot="1" x14ac:dyDescent="0.3">
      <c r="A23" s="291" t="s">
        <v>235</v>
      </c>
      <c r="B23" s="292" t="s">
        <v>435</v>
      </c>
      <c r="C23" s="295"/>
      <c r="D23" s="295"/>
      <c r="E23" s="295">
        <v>292</v>
      </c>
      <c r="F23" s="296">
        <v>27489</v>
      </c>
      <c r="G23" s="295">
        <v>12</v>
      </c>
      <c r="H23" s="296">
        <v>170723</v>
      </c>
      <c r="I23" s="295">
        <v>20</v>
      </c>
      <c r="J23" s="296">
        <v>84674</v>
      </c>
      <c r="M23" s="295">
        <v>20</v>
      </c>
      <c r="N23" s="296">
        <v>84674</v>
      </c>
      <c r="O23">
        <f t="shared" si="0"/>
        <v>1693480</v>
      </c>
    </row>
    <row r="24" spans="1:15" ht="15.75" thickBot="1" x14ac:dyDescent="0.3">
      <c r="A24" s="291" t="s">
        <v>235</v>
      </c>
      <c r="B24" s="292" t="s">
        <v>436</v>
      </c>
      <c r="C24" s="293"/>
      <c r="D24" s="293"/>
      <c r="E24" s="293">
        <v>13</v>
      </c>
      <c r="F24" s="294">
        <v>85918</v>
      </c>
      <c r="G24" s="293">
        <v>9</v>
      </c>
      <c r="H24" s="294">
        <v>103333</v>
      </c>
      <c r="I24" s="293">
        <v>6</v>
      </c>
      <c r="J24" s="294">
        <v>60708</v>
      </c>
      <c r="M24" s="293"/>
      <c r="N24" s="294"/>
      <c r="O24">
        <f t="shared" si="0"/>
        <v>0</v>
      </c>
    </row>
    <row r="25" spans="1:15" ht="15.75" thickBot="1" x14ac:dyDescent="0.3">
      <c r="A25" s="291" t="s">
        <v>235</v>
      </c>
      <c r="B25" s="292" t="s">
        <v>1242</v>
      </c>
      <c r="C25" s="295"/>
      <c r="D25" s="295"/>
      <c r="E25" s="295">
        <v>4</v>
      </c>
      <c r="F25" s="296">
        <v>58574</v>
      </c>
      <c r="G25" s="295">
        <v>7</v>
      </c>
      <c r="H25" s="296">
        <v>85591</v>
      </c>
      <c r="I25" s="295">
        <v>9</v>
      </c>
      <c r="J25" s="296">
        <v>53794</v>
      </c>
      <c r="M25" s="295"/>
      <c r="N25" s="296"/>
      <c r="O25">
        <f t="shared" si="0"/>
        <v>0</v>
      </c>
    </row>
    <row r="26" spans="1:15" ht="15.75" thickBot="1" x14ac:dyDescent="0.3">
      <c r="A26" s="291" t="s">
        <v>235</v>
      </c>
      <c r="B26" s="292" t="s">
        <v>437</v>
      </c>
      <c r="C26" s="293"/>
      <c r="D26" s="293"/>
      <c r="E26" s="293">
        <v>168</v>
      </c>
      <c r="F26" s="294">
        <v>31088</v>
      </c>
      <c r="G26" s="293"/>
      <c r="H26" s="293"/>
      <c r="I26" s="293">
        <v>11</v>
      </c>
      <c r="J26" s="294">
        <v>27631</v>
      </c>
      <c r="M26" s="293">
        <v>11</v>
      </c>
      <c r="N26" s="294">
        <v>27631</v>
      </c>
      <c r="O26">
        <f t="shared" si="0"/>
        <v>303941</v>
      </c>
    </row>
    <row r="27" spans="1:15" ht="15.75" thickBot="1" x14ac:dyDescent="0.3">
      <c r="A27" s="291" t="s">
        <v>235</v>
      </c>
      <c r="B27" s="292" t="s">
        <v>176</v>
      </c>
      <c r="C27" s="293"/>
      <c r="D27" s="293"/>
      <c r="E27" s="293"/>
      <c r="F27" s="293"/>
      <c r="G27" s="293">
        <v>119</v>
      </c>
      <c r="H27" s="294">
        <v>60219</v>
      </c>
      <c r="I27" s="293">
        <v>212</v>
      </c>
      <c r="J27" s="294">
        <v>82676</v>
      </c>
      <c r="M27" s="293">
        <v>212</v>
      </c>
      <c r="N27" s="294">
        <v>82676</v>
      </c>
      <c r="O27">
        <f t="shared" si="0"/>
        <v>17527312</v>
      </c>
    </row>
    <row r="28" spans="1:15" ht="15.75" thickBot="1" x14ac:dyDescent="0.3">
      <c r="A28" s="291" t="s">
        <v>235</v>
      </c>
      <c r="B28" s="292" t="s">
        <v>1243</v>
      </c>
      <c r="C28" s="295"/>
      <c r="D28" s="295"/>
      <c r="E28" s="295"/>
      <c r="F28" s="295"/>
      <c r="G28" s="295"/>
      <c r="H28" s="295"/>
      <c r="I28" s="295">
        <v>38</v>
      </c>
      <c r="J28" s="296">
        <v>69575</v>
      </c>
      <c r="M28" s="295">
        <v>38</v>
      </c>
      <c r="N28" s="296">
        <v>69575</v>
      </c>
      <c r="O28">
        <f t="shared" si="0"/>
        <v>2643850</v>
      </c>
    </row>
    <row r="29" spans="1:15" ht="15.75" thickBot="1" x14ac:dyDescent="0.3">
      <c r="A29" s="291" t="s">
        <v>235</v>
      </c>
      <c r="B29" s="292" t="s">
        <v>441</v>
      </c>
      <c r="C29" s="293"/>
      <c r="D29" s="293"/>
      <c r="E29" s="293">
        <v>176</v>
      </c>
      <c r="F29" s="294">
        <v>24190</v>
      </c>
      <c r="G29" s="293">
        <v>111</v>
      </c>
      <c r="H29" s="294">
        <v>67705</v>
      </c>
      <c r="I29" s="293">
        <v>117</v>
      </c>
      <c r="J29" s="294">
        <v>95017</v>
      </c>
      <c r="M29" s="293">
        <v>117</v>
      </c>
      <c r="N29" s="294">
        <v>95017</v>
      </c>
      <c r="O29">
        <f t="shared" si="0"/>
        <v>11116989</v>
      </c>
    </row>
    <row r="30" spans="1:15" ht="15.75" thickBot="1" x14ac:dyDescent="0.3">
      <c r="A30" s="291" t="s">
        <v>235</v>
      </c>
      <c r="B30" s="292" t="s">
        <v>442</v>
      </c>
      <c r="C30" s="295"/>
      <c r="D30" s="295"/>
      <c r="E30" s="295">
        <v>97</v>
      </c>
      <c r="F30" s="296">
        <v>44615</v>
      </c>
      <c r="G30" s="295">
        <v>4</v>
      </c>
      <c r="H30" s="296">
        <v>47918</v>
      </c>
      <c r="I30" s="295"/>
      <c r="J30" s="295"/>
      <c r="M30" s="295"/>
      <c r="N30" s="295"/>
      <c r="O30">
        <f t="shared" si="0"/>
        <v>0</v>
      </c>
    </row>
    <row r="31" spans="1:15" ht="15.75" thickBot="1" x14ac:dyDescent="0.3">
      <c r="A31" s="291" t="s">
        <v>235</v>
      </c>
      <c r="B31" s="292" t="s">
        <v>1373</v>
      </c>
      <c r="C31" s="293"/>
      <c r="D31" s="293"/>
      <c r="E31" s="293"/>
      <c r="F31" s="293"/>
      <c r="G31" s="293">
        <v>7</v>
      </c>
      <c r="H31" s="294">
        <v>36063</v>
      </c>
      <c r="I31" s="293"/>
      <c r="J31" s="293"/>
      <c r="M31" s="293"/>
      <c r="N31" s="293"/>
      <c r="O31">
        <f t="shared" si="0"/>
        <v>0</v>
      </c>
    </row>
    <row r="32" spans="1:15" ht="15.75" thickBot="1" x14ac:dyDescent="0.3">
      <c r="A32" s="291" t="s">
        <v>235</v>
      </c>
      <c r="B32" s="292" t="s">
        <v>1245</v>
      </c>
      <c r="C32" s="293"/>
      <c r="D32" s="293"/>
      <c r="E32" s="293">
        <v>55</v>
      </c>
      <c r="F32" s="294">
        <v>125400</v>
      </c>
      <c r="G32" s="293">
        <v>48</v>
      </c>
      <c r="H32" s="294">
        <v>83744</v>
      </c>
      <c r="I32" s="293">
        <v>18</v>
      </c>
      <c r="J32" s="294">
        <v>63359</v>
      </c>
      <c r="M32" s="293">
        <v>18</v>
      </c>
      <c r="N32" s="294">
        <v>63359</v>
      </c>
      <c r="O32">
        <f t="shared" si="0"/>
        <v>1140462</v>
      </c>
    </row>
    <row r="33" spans="1:15" ht="15.75" thickBot="1" x14ac:dyDescent="0.3">
      <c r="A33" s="291" t="s">
        <v>235</v>
      </c>
      <c r="B33" s="292" t="s">
        <v>443</v>
      </c>
      <c r="C33" s="295"/>
      <c r="D33" s="295"/>
      <c r="E33" s="295">
        <v>51</v>
      </c>
      <c r="F33" s="296">
        <v>28075</v>
      </c>
      <c r="G33" s="295">
        <v>38</v>
      </c>
      <c r="H33" s="296">
        <v>59966</v>
      </c>
      <c r="I33" s="295">
        <v>36</v>
      </c>
      <c r="J33" s="296">
        <v>78944</v>
      </c>
      <c r="M33" s="295">
        <v>36</v>
      </c>
      <c r="N33" s="296">
        <v>78944</v>
      </c>
      <c r="O33">
        <f t="shared" si="0"/>
        <v>2841984</v>
      </c>
    </row>
    <row r="34" spans="1:15" ht="15.75" thickBot="1" x14ac:dyDescent="0.3">
      <c r="A34" s="291" t="s">
        <v>235</v>
      </c>
      <c r="B34" s="292" t="s">
        <v>1246</v>
      </c>
      <c r="C34" s="293"/>
      <c r="D34" s="293"/>
      <c r="E34" s="293">
        <v>67</v>
      </c>
      <c r="F34" s="294">
        <v>70954</v>
      </c>
      <c r="G34" s="293">
        <v>119</v>
      </c>
      <c r="H34" s="294">
        <v>97891</v>
      </c>
      <c r="I34" s="293">
        <v>58</v>
      </c>
      <c r="J34" s="294">
        <v>99684</v>
      </c>
      <c r="M34" s="293">
        <v>58</v>
      </c>
      <c r="N34" s="294">
        <v>99684</v>
      </c>
      <c r="O34">
        <f t="shared" si="0"/>
        <v>5781672</v>
      </c>
    </row>
    <row r="35" spans="1:15" ht="15.75" thickBot="1" x14ac:dyDescent="0.3">
      <c r="A35" s="291" t="s">
        <v>235</v>
      </c>
      <c r="B35" s="292" t="s">
        <v>1248</v>
      </c>
      <c r="C35" s="295"/>
      <c r="D35" s="295"/>
      <c r="E35" s="295">
        <v>608</v>
      </c>
      <c r="F35" s="296">
        <v>41630</v>
      </c>
      <c r="G35" s="295">
        <v>623</v>
      </c>
      <c r="H35" s="296">
        <v>52503</v>
      </c>
      <c r="I35" s="295">
        <v>527</v>
      </c>
      <c r="J35" s="296">
        <v>60186</v>
      </c>
      <c r="M35" s="295">
        <v>527</v>
      </c>
      <c r="N35" s="296">
        <v>60186</v>
      </c>
      <c r="O35">
        <f t="shared" si="0"/>
        <v>31718022</v>
      </c>
    </row>
    <row r="36" spans="1:15" ht="15.75" thickBot="1" x14ac:dyDescent="0.3">
      <c r="A36" s="291" t="s">
        <v>235</v>
      </c>
      <c r="B36" s="292" t="s">
        <v>1249</v>
      </c>
      <c r="C36" s="293"/>
      <c r="D36" s="293"/>
      <c r="E36" s="293">
        <v>147</v>
      </c>
      <c r="F36" s="294">
        <v>13045</v>
      </c>
      <c r="G36" s="293">
        <v>107</v>
      </c>
      <c r="H36" s="294">
        <v>139224</v>
      </c>
      <c r="I36" s="293">
        <v>151</v>
      </c>
      <c r="J36" s="294">
        <v>131760</v>
      </c>
      <c r="M36" s="293">
        <v>151</v>
      </c>
      <c r="N36" s="294">
        <v>131760</v>
      </c>
      <c r="O36">
        <f t="shared" si="0"/>
        <v>19895760</v>
      </c>
    </row>
    <row r="37" spans="1:15" ht="15.75" thickBot="1" x14ac:dyDescent="0.3">
      <c r="A37" s="291" t="s">
        <v>235</v>
      </c>
      <c r="B37" s="292" t="s">
        <v>1247</v>
      </c>
      <c r="C37" s="293"/>
      <c r="D37" s="293"/>
      <c r="E37" s="293"/>
      <c r="F37" s="293"/>
      <c r="G37" s="293"/>
      <c r="H37" s="293"/>
      <c r="I37" s="293">
        <v>2</v>
      </c>
      <c r="J37" s="294">
        <v>8298</v>
      </c>
      <c r="M37" s="293"/>
      <c r="N37" s="294"/>
      <c r="O37">
        <f t="shared" si="0"/>
        <v>0</v>
      </c>
    </row>
    <row r="38" spans="1:15" ht="15.75" thickBot="1" x14ac:dyDescent="0.3">
      <c r="A38" s="297" t="s">
        <v>235</v>
      </c>
      <c r="B38" s="295" t="s">
        <v>125</v>
      </c>
      <c r="C38" s="295"/>
      <c r="D38" s="295"/>
      <c r="E38" s="296">
        <v>4992</v>
      </c>
      <c r="F38" s="296">
        <v>52471</v>
      </c>
      <c r="G38" s="296">
        <v>4086</v>
      </c>
      <c r="H38" s="296">
        <v>63695</v>
      </c>
      <c r="I38" s="296">
        <v>5717</v>
      </c>
      <c r="J38" s="296">
        <v>45517</v>
      </c>
      <c r="M38" s="296"/>
      <c r="N38" s="296"/>
    </row>
    <row r="39" spans="1:15" x14ac:dyDescent="0.25">
      <c r="M39">
        <f>SUM(M6:M38)</f>
        <v>3552</v>
      </c>
      <c r="O39">
        <f>(SUM(O6:O38))/M39</f>
        <v>63055.892736486487</v>
      </c>
    </row>
  </sheetData>
  <mergeCells count="5">
    <mergeCell ref="C3:F3"/>
    <mergeCell ref="G3:J3"/>
    <mergeCell ref="C4:D4"/>
    <mergeCell ref="E4:H4"/>
    <mergeCell ref="I4:J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heetViews>
  <sheetFormatPr defaultRowHeight="15" x14ac:dyDescent="0.25"/>
  <cols>
    <col min="1" max="1" width="6.140625" customWidth="1"/>
    <col min="2" max="2" width="36.140625" bestFit="1" customWidth="1"/>
    <col min="3" max="3" width="36.5703125" bestFit="1" customWidth="1"/>
    <col min="4" max="4" width="11.42578125" hidden="1" customWidth="1"/>
    <col min="5" max="5" width="29.85546875" hidden="1" customWidth="1"/>
    <col min="6" max="6" width="11.42578125" hidden="1" customWidth="1"/>
    <col min="7" max="7" width="29.85546875" hidden="1" customWidth="1"/>
    <col min="8" max="8" width="11.42578125" bestFit="1" customWidth="1"/>
    <col min="9" max="9" width="29.85546875" bestFit="1" customWidth="1"/>
    <col min="10" max="10" width="11.42578125" bestFit="1" customWidth="1"/>
    <col min="11" max="11" width="29.85546875" bestFit="1" customWidth="1"/>
  </cols>
  <sheetData>
    <row r="1" spans="1:20" x14ac:dyDescent="0.25">
      <c r="A1" t="s">
        <v>1376</v>
      </c>
    </row>
    <row r="2" spans="1:20" ht="15.75" thickBot="1" x14ac:dyDescent="0.3"/>
    <row r="3" spans="1:20" ht="15.75" thickBot="1" x14ac:dyDescent="0.3">
      <c r="A3" s="287" t="s">
        <v>421</v>
      </c>
      <c r="B3" s="287" t="s">
        <v>422</v>
      </c>
      <c r="C3" s="288" t="s">
        <v>1377</v>
      </c>
      <c r="D3" s="469" t="s">
        <v>423</v>
      </c>
      <c r="E3" s="470"/>
      <c r="F3" s="470"/>
      <c r="G3" s="471"/>
      <c r="H3" s="472" t="s">
        <v>424</v>
      </c>
      <c r="I3" s="470"/>
      <c r="J3" s="470"/>
      <c r="K3" s="473"/>
    </row>
    <row r="4" spans="1:20" ht="15.75" thickBot="1" x14ac:dyDescent="0.3">
      <c r="A4" s="287"/>
      <c r="B4" s="287"/>
      <c r="C4" s="288"/>
      <c r="D4" s="469" t="s">
        <v>425</v>
      </c>
      <c r="E4" s="471"/>
      <c r="F4" s="472" t="s">
        <v>426</v>
      </c>
      <c r="G4" s="470"/>
      <c r="H4" s="470"/>
      <c r="I4" s="471"/>
      <c r="J4" s="472" t="s">
        <v>427</v>
      </c>
      <c r="K4" s="473"/>
    </row>
    <row r="5" spans="1:20" ht="15.75" thickBot="1" x14ac:dyDescent="0.3">
      <c r="A5" s="289"/>
      <c r="B5" s="289"/>
      <c r="C5" s="290"/>
      <c r="D5" s="289" t="s">
        <v>428</v>
      </c>
      <c r="E5" s="289" t="s">
        <v>429</v>
      </c>
      <c r="F5" s="289" t="s">
        <v>428</v>
      </c>
      <c r="G5" s="289" t="s">
        <v>429</v>
      </c>
      <c r="H5" s="289" t="s">
        <v>428</v>
      </c>
      <c r="I5" s="289" t="s">
        <v>429</v>
      </c>
      <c r="J5" s="289" t="s">
        <v>428</v>
      </c>
      <c r="K5" s="290" t="s">
        <v>429</v>
      </c>
    </row>
    <row r="6" spans="1:20" ht="30.75" thickBot="1" x14ac:dyDescent="0.3">
      <c r="A6" s="291" t="s">
        <v>492</v>
      </c>
      <c r="B6" s="322" t="s">
        <v>431</v>
      </c>
      <c r="C6" s="292" t="s">
        <v>1378</v>
      </c>
      <c r="D6" s="295"/>
      <c r="E6" s="295"/>
      <c r="F6" s="295"/>
      <c r="G6" s="295"/>
      <c r="H6" s="323">
        <v>69</v>
      </c>
      <c r="I6" s="323">
        <v>818</v>
      </c>
      <c r="J6" s="323">
        <v>124</v>
      </c>
      <c r="K6" s="324">
        <v>1205</v>
      </c>
    </row>
    <row r="7" spans="1:20" ht="15.75" thickBot="1" x14ac:dyDescent="0.3">
      <c r="A7" s="291" t="s">
        <v>492</v>
      </c>
      <c r="B7" s="322" t="s">
        <v>1234</v>
      </c>
      <c r="C7" s="292" t="s">
        <v>1379</v>
      </c>
      <c r="D7" s="293"/>
      <c r="E7" s="293"/>
      <c r="F7" s="293"/>
      <c r="G7" s="293"/>
      <c r="H7" s="325"/>
      <c r="I7" s="325"/>
      <c r="J7" s="326">
        <v>1791</v>
      </c>
      <c r="K7" s="327">
        <v>2510</v>
      </c>
    </row>
    <row r="8" spans="1:20" ht="15.75" thickBot="1" x14ac:dyDescent="0.3">
      <c r="A8" s="291" t="s">
        <v>492</v>
      </c>
      <c r="B8" s="322" t="s">
        <v>1235</v>
      </c>
      <c r="C8" s="292" t="s">
        <v>1380</v>
      </c>
      <c r="D8" s="295"/>
      <c r="E8" s="295"/>
      <c r="F8" s="295"/>
      <c r="G8" s="295"/>
      <c r="H8" s="323"/>
      <c r="I8" s="323"/>
      <c r="J8" s="323">
        <v>528</v>
      </c>
      <c r="K8" s="328">
        <v>12662</v>
      </c>
    </row>
    <row r="9" spans="1:20" ht="15.75" thickBot="1" x14ac:dyDescent="0.3">
      <c r="A9" s="291" t="s">
        <v>492</v>
      </c>
      <c r="B9" s="322" t="s">
        <v>1239</v>
      </c>
      <c r="C9" s="292" t="s">
        <v>1381</v>
      </c>
      <c r="D9" s="293"/>
      <c r="E9" s="293"/>
      <c r="F9" s="293"/>
      <c r="G9" s="293"/>
      <c r="H9" s="325"/>
      <c r="I9" s="325"/>
      <c r="J9" s="325">
        <v>754</v>
      </c>
      <c r="K9" s="327">
        <v>7501</v>
      </c>
    </row>
    <row r="10" spans="1:20" ht="15.75" thickBot="1" x14ac:dyDescent="0.3">
      <c r="A10" s="291" t="s">
        <v>492</v>
      </c>
      <c r="B10" s="322" t="s">
        <v>1240</v>
      </c>
      <c r="C10" s="292" t="s">
        <v>1382</v>
      </c>
      <c r="D10" s="295"/>
      <c r="E10" s="295"/>
      <c r="F10" s="295"/>
      <c r="G10" s="295"/>
      <c r="H10" s="323"/>
      <c r="I10" s="323"/>
      <c r="J10" s="323">
        <v>390</v>
      </c>
      <c r="K10" s="328">
        <v>2976</v>
      </c>
    </row>
    <row r="11" spans="1:20" ht="15.75" thickBot="1" x14ac:dyDescent="0.3">
      <c r="A11" s="291" t="s">
        <v>492</v>
      </c>
      <c r="B11" s="322" t="s">
        <v>1240</v>
      </c>
      <c r="C11" s="292" t="s">
        <v>1383</v>
      </c>
      <c r="D11" s="293"/>
      <c r="E11" s="293"/>
      <c r="F11" s="293"/>
      <c r="G11" s="293"/>
      <c r="H11" s="325"/>
      <c r="I11" s="325"/>
      <c r="J11" s="325">
        <v>81</v>
      </c>
      <c r="K11" s="327">
        <v>3300</v>
      </c>
    </row>
    <row r="12" spans="1:20" ht="15.75" thickBot="1" x14ac:dyDescent="0.3">
      <c r="A12" s="291" t="s">
        <v>492</v>
      </c>
      <c r="B12" s="322" t="s">
        <v>430</v>
      </c>
      <c r="C12" s="292" t="s">
        <v>1384</v>
      </c>
      <c r="D12" s="295"/>
      <c r="E12" s="295"/>
      <c r="F12" s="295"/>
      <c r="G12" s="295"/>
      <c r="H12" s="323"/>
      <c r="I12" s="323"/>
      <c r="J12" s="323">
        <v>27</v>
      </c>
      <c r="K12" s="328">
        <v>1577</v>
      </c>
    </row>
    <row r="13" spans="1:20" ht="15.75" thickBot="1" x14ac:dyDescent="0.3">
      <c r="A13" s="291" t="s">
        <v>492</v>
      </c>
      <c r="B13" s="322" t="s">
        <v>430</v>
      </c>
      <c r="C13" s="292" t="s">
        <v>1385</v>
      </c>
      <c r="D13" s="293"/>
      <c r="E13" s="293"/>
      <c r="F13" s="293"/>
      <c r="G13" s="293"/>
      <c r="H13" s="325"/>
      <c r="I13" s="325"/>
      <c r="J13" s="325">
        <v>5</v>
      </c>
      <c r="K13" s="329">
        <v>430</v>
      </c>
      <c r="L13" s="330"/>
      <c r="M13" s="330"/>
      <c r="N13" s="330"/>
      <c r="O13" s="330"/>
      <c r="P13" s="330"/>
      <c r="Q13" s="330"/>
      <c r="R13" s="330"/>
      <c r="S13" s="330"/>
      <c r="T13" s="330"/>
    </row>
    <row r="14" spans="1:20" ht="15.75" thickBot="1" x14ac:dyDescent="0.3">
      <c r="A14" s="291" t="s">
        <v>492</v>
      </c>
      <c r="B14" s="322" t="s">
        <v>430</v>
      </c>
      <c r="C14" s="292" t="s">
        <v>1386</v>
      </c>
      <c r="D14" s="295"/>
      <c r="E14" s="295"/>
      <c r="F14" s="295"/>
      <c r="G14" s="295"/>
      <c r="H14" s="323"/>
      <c r="I14" s="323"/>
      <c r="J14" s="323">
        <v>2</v>
      </c>
      <c r="K14" s="331">
        <v>603</v>
      </c>
      <c r="L14" s="207"/>
      <c r="M14" s="207"/>
      <c r="N14" s="207"/>
      <c r="O14" s="207"/>
      <c r="P14" s="207"/>
      <c r="Q14" s="207"/>
      <c r="R14" s="207"/>
      <c r="S14" s="330"/>
      <c r="T14" s="330"/>
    </row>
    <row r="15" spans="1:20" ht="15.75" thickBot="1" x14ac:dyDescent="0.3">
      <c r="A15" s="291" t="s">
        <v>492</v>
      </c>
      <c r="B15" s="322" t="s">
        <v>430</v>
      </c>
      <c r="C15" s="292" t="s">
        <v>1387</v>
      </c>
      <c r="D15" s="293"/>
      <c r="E15" s="293"/>
      <c r="F15" s="293"/>
      <c r="G15" s="293"/>
      <c r="H15" s="293"/>
      <c r="I15" s="293"/>
      <c r="J15" s="294">
        <v>1018</v>
      </c>
      <c r="K15" s="332">
        <v>4600</v>
      </c>
      <c r="L15" s="207"/>
      <c r="M15" s="207"/>
      <c r="N15" s="207"/>
      <c r="O15" s="207"/>
      <c r="P15" s="207"/>
      <c r="Q15" s="207"/>
      <c r="R15" s="207"/>
      <c r="S15" s="330"/>
      <c r="T15" s="330"/>
    </row>
    <row r="16" spans="1:20" ht="15.75" thickBot="1" x14ac:dyDescent="0.3">
      <c r="A16" s="291" t="s">
        <v>492</v>
      </c>
      <c r="B16" s="322" t="s">
        <v>433</v>
      </c>
      <c r="C16" s="292" t="s">
        <v>1388</v>
      </c>
      <c r="D16" s="295"/>
      <c r="E16" s="295"/>
      <c r="F16" s="295">
        <v>158</v>
      </c>
      <c r="G16" s="296">
        <v>4717</v>
      </c>
      <c r="H16" s="333">
        <v>910</v>
      </c>
      <c r="I16" s="334">
        <v>8991</v>
      </c>
      <c r="J16" s="334">
        <v>1220</v>
      </c>
      <c r="K16" s="335">
        <v>6925</v>
      </c>
      <c r="L16" s="302"/>
      <c r="M16" s="336"/>
      <c r="N16" s="336"/>
      <c r="O16" s="336"/>
      <c r="P16" s="336"/>
      <c r="Q16" s="207"/>
      <c r="R16" s="207"/>
      <c r="S16" s="330"/>
      <c r="T16" s="330"/>
    </row>
    <row r="17" spans="1:20" ht="30.75" thickBot="1" x14ac:dyDescent="0.3">
      <c r="A17" s="291" t="s">
        <v>492</v>
      </c>
      <c r="B17" s="322" t="s">
        <v>1247</v>
      </c>
      <c r="C17" s="292" t="s">
        <v>1389</v>
      </c>
      <c r="D17" s="293"/>
      <c r="E17" s="293"/>
      <c r="F17" s="293"/>
      <c r="G17" s="293"/>
      <c r="H17" s="293"/>
      <c r="I17" s="293"/>
      <c r="J17" s="293">
        <v>50</v>
      </c>
      <c r="K17" s="332">
        <v>4128</v>
      </c>
      <c r="L17" s="207"/>
      <c r="M17" s="207"/>
      <c r="N17" s="336"/>
      <c r="O17" s="207"/>
      <c r="P17" s="207"/>
      <c r="Q17" s="207"/>
      <c r="R17" s="207"/>
      <c r="S17" s="330"/>
      <c r="T17" s="330"/>
    </row>
    <row r="18" spans="1:20" ht="15.75" thickBot="1" x14ac:dyDescent="0.3">
      <c r="A18" s="291" t="s">
        <v>492</v>
      </c>
      <c r="B18" s="322" t="s">
        <v>1370</v>
      </c>
      <c r="C18" s="292" t="s">
        <v>1390</v>
      </c>
      <c r="D18" s="295"/>
      <c r="E18" s="295"/>
      <c r="F18" s="295"/>
      <c r="G18" s="295"/>
      <c r="H18" s="295"/>
      <c r="I18" s="295"/>
      <c r="J18" s="295">
        <v>32</v>
      </c>
      <c r="K18" s="337">
        <v>3955</v>
      </c>
      <c r="L18" s="207"/>
      <c r="M18" s="207"/>
      <c r="N18" s="336"/>
      <c r="O18" s="207"/>
      <c r="P18" s="207"/>
      <c r="Q18" s="207"/>
      <c r="R18" s="207"/>
      <c r="S18" s="330"/>
      <c r="T18" s="330"/>
    </row>
    <row r="19" spans="1:20" ht="30.75" thickBot="1" x14ac:dyDescent="0.3">
      <c r="A19" s="291" t="s">
        <v>492</v>
      </c>
      <c r="B19" s="322" t="s">
        <v>435</v>
      </c>
      <c r="C19" s="292" t="s">
        <v>1391</v>
      </c>
      <c r="D19" s="295"/>
      <c r="E19" s="295"/>
      <c r="F19" s="295"/>
      <c r="G19" s="295"/>
      <c r="H19" s="333">
        <v>164</v>
      </c>
      <c r="I19" s="334">
        <v>5286</v>
      </c>
      <c r="J19" s="333">
        <v>108</v>
      </c>
      <c r="K19" s="335">
        <v>7232</v>
      </c>
      <c r="L19" s="302"/>
      <c r="M19" s="336"/>
      <c r="N19" s="336"/>
      <c r="O19" s="302"/>
      <c r="P19" s="336"/>
      <c r="Q19" s="207"/>
      <c r="R19" s="207"/>
      <c r="S19" s="330"/>
      <c r="T19" s="330"/>
    </row>
    <row r="20" spans="1:20" ht="30.75" thickBot="1" x14ac:dyDescent="0.3">
      <c r="A20" s="291" t="s">
        <v>492</v>
      </c>
      <c r="B20" s="322" t="s">
        <v>437</v>
      </c>
      <c r="C20" s="292" t="s">
        <v>1392</v>
      </c>
      <c r="D20" s="293"/>
      <c r="E20" s="293"/>
      <c r="F20" s="293"/>
      <c r="G20" s="293"/>
      <c r="H20" s="293"/>
      <c r="I20" s="293"/>
      <c r="J20" s="338">
        <v>125</v>
      </c>
      <c r="K20" s="339">
        <v>8985</v>
      </c>
      <c r="L20" s="207"/>
      <c r="M20" s="207"/>
      <c r="N20" s="207"/>
      <c r="O20" s="302"/>
      <c r="P20" s="336"/>
      <c r="Q20" s="207"/>
      <c r="R20" s="207"/>
      <c r="S20" s="330"/>
      <c r="T20" s="330"/>
    </row>
    <row r="21" spans="1:20" ht="15.75" thickBot="1" x14ac:dyDescent="0.3">
      <c r="A21" s="291" t="s">
        <v>492</v>
      </c>
      <c r="B21" s="322" t="s">
        <v>1242</v>
      </c>
      <c r="C21" s="292" t="s">
        <v>1393</v>
      </c>
      <c r="D21" s="295"/>
      <c r="E21" s="295"/>
      <c r="F21" s="295"/>
      <c r="G21" s="295"/>
      <c r="H21" s="295"/>
      <c r="I21" s="295"/>
      <c r="J21" s="333">
        <v>429</v>
      </c>
      <c r="K21" s="335">
        <v>6220</v>
      </c>
      <c r="L21" s="207"/>
      <c r="M21" s="207"/>
      <c r="N21" s="207"/>
      <c r="O21" s="302"/>
      <c r="P21" s="336"/>
      <c r="Q21" s="207"/>
      <c r="R21" s="207"/>
      <c r="S21" s="330"/>
      <c r="T21" s="330"/>
    </row>
    <row r="22" spans="1:20" ht="15.75" thickBot="1" x14ac:dyDescent="0.3">
      <c r="A22" s="291" t="s">
        <v>492</v>
      </c>
      <c r="B22" s="322" t="s">
        <v>1243</v>
      </c>
      <c r="C22" s="292" t="s">
        <v>1394</v>
      </c>
      <c r="D22" s="295"/>
      <c r="E22" s="295"/>
      <c r="F22" s="295"/>
      <c r="G22" s="295"/>
      <c r="H22" s="295"/>
      <c r="I22" s="295"/>
      <c r="J22" s="295">
        <v>64</v>
      </c>
      <c r="K22" s="337">
        <v>1771</v>
      </c>
      <c r="L22" s="207"/>
      <c r="M22" s="207"/>
      <c r="N22" s="207"/>
      <c r="O22" s="207"/>
      <c r="P22" s="207"/>
      <c r="Q22" s="207"/>
      <c r="R22" s="207"/>
      <c r="S22" s="330"/>
      <c r="T22" s="330"/>
    </row>
    <row r="23" spans="1:20" ht="15.75" thickBot="1" x14ac:dyDescent="0.3">
      <c r="A23" s="291" t="s">
        <v>492</v>
      </c>
      <c r="B23" s="322" t="s">
        <v>1243</v>
      </c>
      <c r="C23" s="292" t="s">
        <v>1395</v>
      </c>
      <c r="D23" s="293"/>
      <c r="E23" s="293"/>
      <c r="F23" s="293"/>
      <c r="G23" s="293"/>
      <c r="H23" s="293">
        <v>12</v>
      </c>
      <c r="I23" s="294">
        <v>2148</v>
      </c>
      <c r="J23" s="293">
        <v>104</v>
      </c>
      <c r="K23" s="332">
        <v>1701</v>
      </c>
      <c r="L23" s="207"/>
      <c r="M23" s="207"/>
      <c r="N23" s="340"/>
      <c r="O23" s="340"/>
      <c r="P23" s="207"/>
      <c r="Q23" s="207"/>
      <c r="R23" s="207"/>
      <c r="S23" s="330"/>
      <c r="T23" s="330"/>
    </row>
    <row r="24" spans="1:20" ht="15.75" thickBot="1" x14ac:dyDescent="0.3">
      <c r="A24" s="291" t="s">
        <v>492</v>
      </c>
      <c r="B24" s="322" t="s">
        <v>441</v>
      </c>
      <c r="C24" s="292" t="s">
        <v>1396</v>
      </c>
      <c r="D24" s="295"/>
      <c r="E24" s="295"/>
      <c r="F24" s="295">
        <v>33</v>
      </c>
      <c r="G24" s="295">
        <v>562</v>
      </c>
      <c r="H24" s="323">
        <v>128</v>
      </c>
      <c r="I24" s="341">
        <v>2031</v>
      </c>
      <c r="J24" s="323">
        <v>66</v>
      </c>
      <c r="K24" s="328">
        <v>1615</v>
      </c>
      <c r="L24" s="207"/>
      <c r="M24" s="207"/>
      <c r="N24" s="207"/>
      <c r="O24" s="207"/>
      <c r="P24" s="207"/>
      <c r="Q24" s="207"/>
      <c r="R24" s="207"/>
      <c r="S24" s="330"/>
      <c r="T24" s="330"/>
    </row>
    <row r="25" spans="1:20" ht="15.75" thickBot="1" x14ac:dyDescent="0.3">
      <c r="A25" s="291" t="s">
        <v>492</v>
      </c>
      <c r="B25" s="322" t="s">
        <v>442</v>
      </c>
      <c r="C25" s="292" t="s">
        <v>1397</v>
      </c>
      <c r="D25" s="295"/>
      <c r="E25" s="295"/>
      <c r="F25" s="295">
        <v>10</v>
      </c>
      <c r="G25" s="295">
        <v>689</v>
      </c>
      <c r="H25" s="323">
        <v>129</v>
      </c>
      <c r="I25" s="341">
        <v>2148</v>
      </c>
      <c r="J25" s="323"/>
      <c r="K25" s="331"/>
      <c r="L25" s="330"/>
      <c r="M25" s="330"/>
      <c r="N25" s="330"/>
      <c r="O25" s="330"/>
      <c r="P25" s="330"/>
      <c r="Q25" s="330"/>
      <c r="R25" s="330"/>
      <c r="S25" s="330"/>
      <c r="T25" s="330"/>
    </row>
    <row r="26" spans="1:20" ht="15.75" thickBot="1" x14ac:dyDescent="0.3">
      <c r="A26" s="291" t="s">
        <v>492</v>
      </c>
      <c r="B26" s="322" t="s">
        <v>1245</v>
      </c>
      <c r="C26" s="292" t="s">
        <v>1398</v>
      </c>
      <c r="D26" s="295"/>
      <c r="E26" s="295"/>
      <c r="F26" s="295">
        <v>1</v>
      </c>
      <c r="G26" s="296">
        <v>1112</v>
      </c>
      <c r="H26" s="323">
        <v>197</v>
      </c>
      <c r="I26" s="323">
        <v>466</v>
      </c>
      <c r="J26" s="323">
        <v>61</v>
      </c>
      <c r="K26" s="328">
        <v>1790</v>
      </c>
      <c r="L26" s="330"/>
      <c r="M26" s="330"/>
      <c r="N26" s="330"/>
      <c r="O26" s="330"/>
      <c r="P26" s="330"/>
      <c r="Q26" s="330"/>
      <c r="R26" s="330"/>
      <c r="S26" s="330"/>
      <c r="T26" s="330"/>
    </row>
    <row r="27" spans="1:20" ht="15.75" thickBot="1" x14ac:dyDescent="0.3">
      <c r="A27" s="291" t="s">
        <v>492</v>
      </c>
      <c r="B27" s="322" t="s">
        <v>443</v>
      </c>
      <c r="C27" s="292" t="s">
        <v>1399</v>
      </c>
      <c r="D27" s="293"/>
      <c r="E27" s="293"/>
      <c r="F27" s="293"/>
      <c r="G27" s="293"/>
      <c r="H27" s="325">
        <v>2</v>
      </c>
      <c r="I27" s="326">
        <v>2322</v>
      </c>
      <c r="J27" s="325"/>
      <c r="K27" s="329"/>
      <c r="L27" s="330"/>
      <c r="M27" s="330"/>
      <c r="N27" s="330"/>
      <c r="O27" s="330"/>
      <c r="P27" s="330"/>
      <c r="Q27" s="330"/>
      <c r="R27" s="330"/>
      <c r="S27" s="330"/>
      <c r="T27" s="330"/>
    </row>
    <row r="28" spans="1:20" ht="15.75" thickBot="1" x14ac:dyDescent="0.3">
      <c r="A28" s="297" t="s">
        <v>492</v>
      </c>
      <c r="B28" s="342" t="s">
        <v>1249</v>
      </c>
      <c r="C28" s="295" t="s">
        <v>1400</v>
      </c>
      <c r="D28" s="293"/>
      <c r="E28" s="293"/>
      <c r="F28" s="293"/>
      <c r="G28" s="293"/>
      <c r="H28" s="325">
        <v>199</v>
      </c>
      <c r="I28" s="326">
        <v>3305</v>
      </c>
      <c r="J28" s="325">
        <v>239</v>
      </c>
      <c r="K28" s="327">
        <v>20294</v>
      </c>
      <c r="L28" s="330"/>
      <c r="M28" s="330"/>
      <c r="N28" s="330"/>
      <c r="O28" s="330"/>
      <c r="P28" s="330"/>
      <c r="Q28" s="330"/>
      <c r="R28" s="330"/>
      <c r="S28" s="330"/>
      <c r="T28" s="330"/>
    </row>
  </sheetData>
  <mergeCells count="5">
    <mergeCell ref="D3:G3"/>
    <mergeCell ref="H3:K3"/>
    <mergeCell ref="D4:E4"/>
    <mergeCell ref="F4:I4"/>
    <mergeCell ref="J4:K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14" sqref="A14"/>
    </sheetView>
  </sheetViews>
  <sheetFormatPr defaultRowHeight="15" x14ac:dyDescent="0.25"/>
  <cols>
    <col min="1" max="1" width="11" customWidth="1"/>
    <col min="2" max="2" width="11.85546875" customWidth="1"/>
    <col min="3" max="3" width="88" customWidth="1"/>
    <col min="4" max="4" width="15.5703125" customWidth="1"/>
    <col min="5" max="5" width="14.5703125" customWidth="1"/>
    <col min="6" max="6" width="16.28515625" bestFit="1" customWidth="1"/>
    <col min="8" max="8" width="22" bestFit="1" customWidth="1"/>
    <col min="11" max="11" width="19" bestFit="1" customWidth="1"/>
    <col min="12" max="12" width="19.140625" bestFit="1" customWidth="1"/>
  </cols>
  <sheetData>
    <row r="1" spans="1:13" x14ac:dyDescent="0.25">
      <c r="A1" s="311" t="s">
        <v>1359</v>
      </c>
      <c r="B1" s="311" t="s">
        <v>1360</v>
      </c>
      <c r="C1" s="312" t="s">
        <v>1361</v>
      </c>
      <c r="D1" s="344" t="s">
        <v>10</v>
      </c>
      <c r="E1" s="344" t="s">
        <v>1</v>
      </c>
      <c r="F1" s="97" t="s">
        <v>1406</v>
      </c>
      <c r="G1" s="97" t="s">
        <v>1407</v>
      </c>
      <c r="H1" s="97" t="s">
        <v>1408</v>
      </c>
      <c r="K1" t="s">
        <v>1409</v>
      </c>
      <c r="L1" t="s">
        <v>1410</v>
      </c>
      <c r="M1" t="s">
        <v>1831</v>
      </c>
    </row>
    <row r="2" spans="1:13" x14ac:dyDescent="0.25">
      <c r="A2" s="345" t="s">
        <v>1411</v>
      </c>
      <c r="B2" s="346" t="s">
        <v>1411</v>
      </c>
      <c r="C2" s="343" t="s">
        <v>1412</v>
      </c>
      <c r="D2" s="6">
        <v>102403</v>
      </c>
      <c r="E2" s="347">
        <v>116168</v>
      </c>
      <c r="F2" s="345" t="s">
        <v>1342</v>
      </c>
      <c r="G2" s="97">
        <v>3</v>
      </c>
      <c r="H2" s="262">
        <f>D3/1.079+(L2-(K2*3))</f>
        <v>94399.846153846156</v>
      </c>
      <c r="K2" s="298">
        <v>1918</v>
      </c>
      <c r="L2" s="298">
        <v>30000</v>
      </c>
      <c r="M2">
        <v>1.079</v>
      </c>
    </row>
    <row r="3" spans="1:13" x14ac:dyDescent="0.25">
      <c r="A3" s="345" t="s">
        <v>1413</v>
      </c>
      <c r="B3" s="346" t="s">
        <v>1413</v>
      </c>
      <c r="C3" s="343" t="s">
        <v>1414</v>
      </c>
      <c r="D3" s="6">
        <v>75696</v>
      </c>
      <c r="E3" s="347">
        <v>76221</v>
      </c>
      <c r="F3" s="345"/>
      <c r="G3" s="97">
        <v>6</v>
      </c>
      <c r="H3" s="262"/>
    </row>
    <row r="4" spans="1:13" x14ac:dyDescent="0.25">
      <c r="A4" s="345" t="s">
        <v>1415</v>
      </c>
      <c r="B4" s="346" t="s">
        <v>1415</v>
      </c>
      <c r="C4" s="343" t="s">
        <v>1416</v>
      </c>
      <c r="D4" s="6">
        <v>64903</v>
      </c>
      <c r="E4" s="347">
        <v>84545</v>
      </c>
      <c r="F4" s="345"/>
      <c r="G4" s="97">
        <v>2</v>
      </c>
      <c r="H4" s="262">
        <f>D5/1.079+L2</f>
        <v>60848.007414272477</v>
      </c>
    </row>
    <row r="5" spans="1:13" x14ac:dyDescent="0.25">
      <c r="A5" s="345" t="s">
        <v>1417</v>
      </c>
      <c r="B5" s="346" t="s">
        <v>1417</v>
      </c>
      <c r="C5" s="343" t="s">
        <v>1418</v>
      </c>
      <c r="D5" s="6">
        <v>33285</v>
      </c>
      <c r="E5" s="347">
        <v>39349</v>
      </c>
      <c r="F5" s="345"/>
      <c r="G5" s="97">
        <v>2</v>
      </c>
      <c r="H5" s="262"/>
    </row>
    <row r="6" spans="1:13" x14ac:dyDescent="0.25">
      <c r="A6" s="345" t="s">
        <v>1419</v>
      </c>
      <c r="B6" s="346" t="s">
        <v>1419</v>
      </c>
      <c r="C6" s="343" t="s">
        <v>1420</v>
      </c>
      <c r="D6" s="6">
        <v>31841</v>
      </c>
      <c r="E6" s="347">
        <v>34356</v>
      </c>
      <c r="F6" s="345" t="s">
        <v>1342</v>
      </c>
      <c r="G6" s="97"/>
      <c r="H6" s="262"/>
    </row>
    <row r="7" spans="1:13" x14ac:dyDescent="0.25">
      <c r="A7" s="345" t="s">
        <v>1421</v>
      </c>
      <c r="B7" s="346" t="s">
        <v>1421</v>
      </c>
      <c r="C7" s="343" t="s">
        <v>1422</v>
      </c>
      <c r="D7" s="6">
        <v>55273</v>
      </c>
      <c r="E7" s="347">
        <v>55413</v>
      </c>
      <c r="F7" s="345"/>
      <c r="G7" s="97">
        <v>5</v>
      </c>
      <c r="H7" s="262"/>
    </row>
    <row r="8" spans="1:13" x14ac:dyDescent="0.25">
      <c r="A8" s="345" t="s">
        <v>1423</v>
      </c>
      <c r="B8" s="346" t="s">
        <v>1423</v>
      </c>
      <c r="C8" s="343" t="s">
        <v>1424</v>
      </c>
      <c r="D8" s="6">
        <v>74567</v>
      </c>
      <c r="E8" s="347">
        <v>104357</v>
      </c>
      <c r="F8" s="345"/>
      <c r="G8" s="97">
        <v>2</v>
      </c>
      <c r="H8" s="262">
        <f>D9/1.079+(L2-(K2*2))</f>
        <v>71796.066728452279</v>
      </c>
    </row>
    <row r="9" spans="1:13" x14ac:dyDescent="0.25">
      <c r="A9" s="345" t="s">
        <v>1425</v>
      </c>
      <c r="B9" s="346" t="s">
        <v>1425</v>
      </c>
      <c r="C9" s="343" t="s">
        <v>1426</v>
      </c>
      <c r="D9" s="6">
        <v>49237</v>
      </c>
      <c r="E9" s="347">
        <v>54026</v>
      </c>
      <c r="F9" s="345"/>
      <c r="G9" s="97">
        <v>4</v>
      </c>
      <c r="H9" s="262"/>
    </row>
    <row r="10" spans="1:13" x14ac:dyDescent="0.25">
      <c r="A10" s="345" t="s">
        <v>1427</v>
      </c>
      <c r="B10" s="346" t="s">
        <v>1427</v>
      </c>
      <c r="C10" s="343" t="s">
        <v>1428</v>
      </c>
      <c r="D10" s="6">
        <v>61231</v>
      </c>
      <c r="E10" s="347">
        <v>64152</v>
      </c>
      <c r="F10" s="345"/>
      <c r="G10" s="97">
        <v>2</v>
      </c>
      <c r="H10" s="262">
        <f>D11/1.079+L2</f>
        <v>58353.1047265987</v>
      </c>
    </row>
    <row r="11" spans="1:13" x14ac:dyDescent="0.25">
      <c r="A11" s="345" t="s">
        <v>1429</v>
      </c>
      <c r="B11" s="346" t="s">
        <v>1429</v>
      </c>
      <c r="C11" s="343" t="s">
        <v>1430</v>
      </c>
      <c r="D11" s="6">
        <v>30593</v>
      </c>
      <c r="E11" s="347">
        <v>39341</v>
      </c>
      <c r="F11" s="345"/>
      <c r="G11" s="97">
        <v>2</v>
      </c>
      <c r="H11" s="262"/>
    </row>
    <row r="12" spans="1:13" x14ac:dyDescent="0.25">
      <c r="A12" s="345" t="s">
        <v>1431</v>
      </c>
      <c r="B12" s="346" t="s">
        <v>1431</v>
      </c>
      <c r="C12" s="343" t="s">
        <v>1432</v>
      </c>
      <c r="D12" s="6">
        <v>16313</v>
      </c>
      <c r="E12" s="347">
        <v>17928</v>
      </c>
      <c r="F12" s="345"/>
      <c r="G12" s="97">
        <v>2</v>
      </c>
      <c r="H12" s="262"/>
    </row>
    <row r="13" spans="1:13" x14ac:dyDescent="0.25">
      <c r="A13" s="345" t="s">
        <v>1433</v>
      </c>
      <c r="B13" s="346" t="s">
        <v>1433</v>
      </c>
      <c r="C13" s="343" t="s">
        <v>1434</v>
      </c>
      <c r="D13" s="6">
        <v>40506</v>
      </c>
      <c r="E13" s="347">
        <v>38548</v>
      </c>
      <c r="F13" s="345"/>
      <c r="G13" s="97">
        <v>2</v>
      </c>
      <c r="H13" s="262">
        <f>D14/1.079+(L2-(K2))</f>
        <v>39321.110287303061</v>
      </c>
    </row>
    <row r="14" spans="1:13" x14ac:dyDescent="0.25">
      <c r="A14" s="345" t="s">
        <v>1435</v>
      </c>
      <c r="B14" s="346" t="s">
        <v>1435</v>
      </c>
      <c r="C14" s="343" t="s">
        <v>1436</v>
      </c>
      <c r="D14" s="6">
        <v>12127</v>
      </c>
      <c r="E14" s="347">
        <v>14129</v>
      </c>
      <c r="F14" s="97"/>
      <c r="G14" s="97">
        <v>1</v>
      </c>
      <c r="H14" s="97"/>
    </row>
    <row r="17" spans="1:8" x14ac:dyDescent="0.25">
      <c r="A17" s="345" t="s">
        <v>1437</v>
      </c>
      <c r="B17" s="346" t="s">
        <v>1437</v>
      </c>
      <c r="C17" s="343" t="s">
        <v>1438</v>
      </c>
      <c r="D17" s="6">
        <v>102126</v>
      </c>
      <c r="E17" s="347">
        <v>111760</v>
      </c>
      <c r="F17" s="97"/>
      <c r="G17" s="97">
        <v>4</v>
      </c>
      <c r="H17" s="348">
        <f>D18/1.079+(L2-(2*K2))</f>
        <v>93176.048192771093</v>
      </c>
    </row>
    <row r="18" spans="1:8" x14ac:dyDescent="0.25">
      <c r="A18" s="345" t="s">
        <v>1439</v>
      </c>
      <c r="B18" s="346" t="s">
        <v>1439</v>
      </c>
      <c r="C18" s="343" t="s">
        <v>1440</v>
      </c>
      <c r="D18" s="6">
        <v>72306</v>
      </c>
      <c r="E18" s="347">
        <v>84372</v>
      </c>
      <c r="F18" s="97"/>
      <c r="G18" s="97">
        <v>6</v>
      </c>
      <c r="H18" s="345"/>
    </row>
    <row r="19" spans="1:8" x14ac:dyDescent="0.25">
      <c r="A19" s="345" t="s">
        <v>1441</v>
      </c>
      <c r="B19" s="346" t="s">
        <v>1441</v>
      </c>
      <c r="C19" s="343" t="s">
        <v>1442</v>
      </c>
      <c r="D19" s="6">
        <v>77214</v>
      </c>
      <c r="E19" s="347">
        <v>102895</v>
      </c>
      <c r="F19" s="345"/>
      <c r="G19" s="97">
        <v>4</v>
      </c>
      <c r="H19" s="348">
        <f>D20/1.079+(L2-(3*K2))</f>
        <v>70345.165894346617</v>
      </c>
    </row>
    <row r="20" spans="1:8" x14ac:dyDescent="0.25">
      <c r="A20" s="345" t="s">
        <v>1829</v>
      </c>
      <c r="B20" s="346" t="s">
        <v>1443</v>
      </c>
      <c r="C20" s="393" t="s">
        <v>1830</v>
      </c>
      <c r="D20" s="6">
        <v>49741</v>
      </c>
      <c r="E20" s="347">
        <v>57733</v>
      </c>
      <c r="F20" s="345"/>
      <c r="G20" s="97">
        <v>7</v>
      </c>
      <c r="H20" s="348"/>
    </row>
    <row r="21" spans="1:8" x14ac:dyDescent="0.25">
      <c r="A21" s="198"/>
      <c r="B21" s="198"/>
      <c r="C21" s="198"/>
      <c r="D21" s="6"/>
      <c r="E21" s="198"/>
      <c r="F21" s="198"/>
      <c r="G21" s="198"/>
      <c r="H21" s="198"/>
    </row>
    <row r="22" spans="1:8" ht="57.75" x14ac:dyDescent="0.25">
      <c r="A22" s="349"/>
      <c r="B22" s="349"/>
      <c r="C22" s="350" t="s">
        <v>1444</v>
      </c>
      <c r="D22" s="351"/>
      <c r="E22" s="351"/>
      <c r="F22" s="198"/>
      <c r="G22" s="198"/>
      <c r="H22" s="198"/>
    </row>
    <row r="23" spans="1:8" x14ac:dyDescent="0.25">
      <c r="A23" s="349"/>
      <c r="B23" s="349"/>
      <c r="C23" s="352"/>
      <c r="D23" s="351"/>
      <c r="E23" s="351"/>
      <c r="F23" s="198"/>
      <c r="G23" s="198"/>
      <c r="H23" s="198"/>
    </row>
    <row r="24" spans="1:8" x14ac:dyDescent="0.25">
      <c r="A24" s="198"/>
      <c r="B24" s="198"/>
      <c r="C24" s="198"/>
      <c r="D24" s="198"/>
      <c r="E24" s="198"/>
      <c r="F24" s="198"/>
      <c r="G24" s="198"/>
      <c r="H24" s="198"/>
    </row>
    <row r="25" spans="1:8" x14ac:dyDescent="0.25">
      <c r="A25" s="198"/>
      <c r="B25" s="198"/>
      <c r="C25" s="198"/>
      <c r="D25" s="198"/>
      <c r="E25" s="198"/>
      <c r="F25" s="198"/>
      <c r="G25" s="198"/>
      <c r="H25" s="198"/>
    </row>
    <row r="26" spans="1:8" x14ac:dyDescent="0.25">
      <c r="A26" s="198"/>
      <c r="B26" s="198"/>
      <c r="C26" s="198"/>
      <c r="D26" s="198"/>
      <c r="E26" s="198"/>
      <c r="F26" s="198"/>
      <c r="G26" s="198"/>
      <c r="H26" s="198"/>
    </row>
    <row r="27" spans="1:8" x14ac:dyDescent="0.25">
      <c r="C27" s="77"/>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election activeCell="J17" sqref="J17"/>
    </sheetView>
  </sheetViews>
  <sheetFormatPr defaultRowHeight="15" x14ac:dyDescent="0.25"/>
  <cols>
    <col min="1" max="1" width="77.7109375" customWidth="1"/>
  </cols>
  <sheetData>
    <row r="1" spans="1:1" x14ac:dyDescent="0.25">
      <c r="A1" s="353" t="s">
        <v>1445</v>
      </c>
    </row>
    <row r="2" spans="1:1" x14ac:dyDescent="0.25">
      <c r="A2" s="354"/>
    </row>
    <row r="3" spans="1:1" ht="51" x14ac:dyDescent="0.25">
      <c r="A3" s="358" t="s">
        <v>1446</v>
      </c>
    </row>
    <row r="4" spans="1:1" x14ac:dyDescent="0.25">
      <c r="A4" s="354"/>
    </row>
    <row r="5" spans="1:1" x14ac:dyDescent="0.25">
      <c r="A5" s="354"/>
    </row>
    <row r="6" spans="1:1" x14ac:dyDescent="0.25">
      <c r="A6" s="354" t="s">
        <v>1447</v>
      </c>
    </row>
    <row r="7" spans="1:1" x14ac:dyDescent="0.25">
      <c r="A7" s="354"/>
    </row>
    <row r="8" spans="1:1" x14ac:dyDescent="0.25">
      <c r="A8" s="354" t="s">
        <v>1448</v>
      </c>
    </row>
    <row r="9" spans="1:1" x14ac:dyDescent="0.25">
      <c r="A9" s="355"/>
    </row>
    <row r="10" spans="1:1" x14ac:dyDescent="0.25">
      <c r="A10" s="354" t="s">
        <v>1449</v>
      </c>
    </row>
    <row r="11" spans="1:1" x14ac:dyDescent="0.25">
      <c r="A11" s="354"/>
    </row>
    <row r="12" spans="1:1" x14ac:dyDescent="0.25">
      <c r="A12" s="354" t="s">
        <v>1450</v>
      </c>
    </row>
    <row r="13" spans="1:1" x14ac:dyDescent="0.25">
      <c r="A13" s="354" t="s">
        <v>1451</v>
      </c>
    </row>
    <row r="14" spans="1:1" x14ac:dyDescent="0.25">
      <c r="A14" s="354" t="s">
        <v>1452</v>
      </c>
    </row>
    <row r="15" spans="1:1" x14ac:dyDescent="0.25">
      <c r="A15" s="354"/>
    </row>
    <row r="16" spans="1:1" x14ac:dyDescent="0.25">
      <c r="A16" s="354" t="s">
        <v>1453</v>
      </c>
    </row>
    <row r="17" spans="1:1" x14ac:dyDescent="0.25">
      <c r="A17" s="354" t="s">
        <v>1454</v>
      </c>
    </row>
    <row r="18" spans="1:1" x14ac:dyDescent="0.25">
      <c r="A18" s="354" t="s">
        <v>1455</v>
      </c>
    </row>
    <row r="19" spans="1:1" x14ac:dyDescent="0.25">
      <c r="A19" s="354" t="s">
        <v>1456</v>
      </c>
    </row>
    <row r="20" spans="1:1" x14ac:dyDescent="0.25">
      <c r="A20" s="354"/>
    </row>
    <row r="21" spans="1:1" x14ac:dyDescent="0.25">
      <c r="A21" s="354" t="s">
        <v>1457</v>
      </c>
    </row>
    <row r="22" spans="1:1" x14ac:dyDescent="0.25">
      <c r="A22" s="354" t="s">
        <v>1458</v>
      </c>
    </row>
    <row r="23" spans="1:1" x14ac:dyDescent="0.25">
      <c r="A23" s="356"/>
    </row>
    <row r="24" spans="1:1" x14ac:dyDescent="0.25">
      <c r="A24" s="356"/>
    </row>
    <row r="25" spans="1:1" x14ac:dyDescent="0.25">
      <c r="A25" s="354" t="s">
        <v>1459</v>
      </c>
    </row>
    <row r="26" spans="1:1" x14ac:dyDescent="0.25">
      <c r="A26" s="356"/>
    </row>
    <row r="27" spans="1:1" x14ac:dyDescent="0.25">
      <c r="A27" s="354"/>
    </row>
    <row r="28" spans="1:1" x14ac:dyDescent="0.25">
      <c r="A28" s="354"/>
    </row>
    <row r="29" spans="1:1" x14ac:dyDescent="0.25">
      <c r="A29" s="355"/>
    </row>
    <row r="30" spans="1:1" x14ac:dyDescent="0.25">
      <c r="A30" s="355"/>
    </row>
    <row r="31" spans="1:1" x14ac:dyDescent="0.25">
      <c r="A31" s="357" t="s">
        <v>1460</v>
      </c>
    </row>
    <row r="32" spans="1:1" x14ac:dyDescent="0.25">
      <c r="A32" s="357" t="s">
        <v>1461</v>
      </c>
    </row>
    <row r="33" spans="1:1" x14ac:dyDescent="0.25">
      <c r="A33" s="355"/>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B32" sqref="B32"/>
    </sheetView>
  </sheetViews>
  <sheetFormatPr defaultRowHeight="15" x14ac:dyDescent="0.25"/>
  <cols>
    <col min="1" max="1" width="89.85546875" customWidth="1"/>
  </cols>
  <sheetData>
    <row r="1" spans="1:1" x14ac:dyDescent="0.25">
      <c r="A1" s="359" t="s">
        <v>1462</v>
      </c>
    </row>
    <row r="2" spans="1:1" x14ac:dyDescent="0.25">
      <c r="A2" s="355"/>
    </row>
    <row r="3" spans="1:1" ht="25.5" x14ac:dyDescent="0.25">
      <c r="A3" s="361" t="s">
        <v>1463</v>
      </c>
    </row>
    <row r="4" spans="1:1" x14ac:dyDescent="0.25">
      <c r="A4" s="355"/>
    </row>
    <row r="5" spans="1:1" ht="51" x14ac:dyDescent="0.25">
      <c r="A5" s="361" t="s">
        <v>1464</v>
      </c>
    </row>
    <row r="6" spans="1:1" x14ac:dyDescent="0.25">
      <c r="A6" s="355"/>
    </row>
    <row r="7" spans="1:1" x14ac:dyDescent="0.25">
      <c r="A7" s="355"/>
    </row>
    <row r="8" spans="1:1" x14ac:dyDescent="0.25">
      <c r="A8" s="355"/>
    </row>
    <row r="9" spans="1:1" x14ac:dyDescent="0.25">
      <c r="A9" s="360" t="s">
        <v>1460</v>
      </c>
    </row>
    <row r="10" spans="1:1" x14ac:dyDescent="0.25">
      <c r="A10" s="360" t="s">
        <v>1461</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heetViews>
  <sheetFormatPr defaultRowHeight="15" x14ac:dyDescent="0.25"/>
  <cols>
    <col min="1" max="1" width="6.5703125" customWidth="1"/>
    <col min="2" max="2" width="36.140625" bestFit="1" customWidth="1"/>
    <col min="3" max="3" width="11.42578125" hidden="1" customWidth="1"/>
    <col min="4" max="4" width="29.85546875" hidden="1" customWidth="1"/>
    <col min="5" max="5" width="11.42578125" hidden="1" customWidth="1"/>
    <col min="6" max="6" width="29.85546875" hidden="1" customWidth="1"/>
    <col min="7" max="7" width="11.42578125" bestFit="1" customWidth="1"/>
    <col min="8" max="8" width="29.85546875" bestFit="1" customWidth="1"/>
    <col min="9" max="9" width="11.42578125" bestFit="1" customWidth="1"/>
    <col min="10" max="10" width="29.85546875" bestFit="1" customWidth="1"/>
  </cols>
  <sheetData>
    <row r="1" spans="1:10" x14ac:dyDescent="0.25">
      <c r="A1" t="s">
        <v>420</v>
      </c>
    </row>
    <row r="2" spans="1:10" ht="15.75" thickBot="1" x14ac:dyDescent="0.3"/>
    <row r="3" spans="1:10" ht="15.75" thickBot="1" x14ac:dyDescent="0.3">
      <c r="A3" s="287" t="s">
        <v>421</v>
      </c>
      <c r="B3" s="288" t="s">
        <v>422</v>
      </c>
      <c r="C3" s="469" t="s">
        <v>423</v>
      </c>
      <c r="D3" s="470"/>
      <c r="E3" s="470"/>
      <c r="F3" s="471"/>
      <c r="G3" s="472" t="s">
        <v>424</v>
      </c>
      <c r="H3" s="470"/>
      <c r="I3" s="470"/>
      <c r="J3" s="473"/>
    </row>
    <row r="4" spans="1:10" ht="15.75" thickBot="1" x14ac:dyDescent="0.3">
      <c r="A4" s="287"/>
      <c r="B4" s="288"/>
      <c r="C4" s="469" t="s">
        <v>425</v>
      </c>
      <c r="D4" s="471"/>
      <c r="E4" s="472" t="s">
        <v>426</v>
      </c>
      <c r="F4" s="470"/>
      <c r="G4" s="470"/>
      <c r="H4" s="471"/>
      <c r="I4" s="472" t="s">
        <v>427</v>
      </c>
      <c r="J4" s="473"/>
    </row>
    <row r="5" spans="1:10" ht="15.75" thickBot="1" x14ac:dyDescent="0.3">
      <c r="A5" s="289"/>
      <c r="B5" s="290"/>
      <c r="C5" s="289" t="s">
        <v>428</v>
      </c>
      <c r="D5" s="289" t="s">
        <v>429</v>
      </c>
      <c r="E5" s="289" t="s">
        <v>428</v>
      </c>
      <c r="F5" s="289" t="s">
        <v>429</v>
      </c>
      <c r="G5" s="289" t="s">
        <v>428</v>
      </c>
      <c r="H5" s="289" t="s">
        <v>429</v>
      </c>
      <c r="I5" s="289" t="s">
        <v>428</v>
      </c>
      <c r="J5" s="290" t="s">
        <v>429</v>
      </c>
    </row>
    <row r="6" spans="1:10" ht="15.75" thickBot="1" x14ac:dyDescent="0.3">
      <c r="A6" s="291" t="s">
        <v>277</v>
      </c>
      <c r="B6" s="292" t="s">
        <v>430</v>
      </c>
      <c r="C6" s="293"/>
      <c r="D6" s="293"/>
      <c r="E6" s="294">
        <v>6169</v>
      </c>
      <c r="F6" s="293">
        <v>775</v>
      </c>
      <c r="G6" s="294">
        <v>6974</v>
      </c>
      <c r="H6" s="294">
        <v>1147</v>
      </c>
      <c r="I6" s="294">
        <v>7255</v>
      </c>
      <c r="J6" s="294">
        <v>1292</v>
      </c>
    </row>
    <row r="7" spans="1:10" ht="15.75" thickBot="1" x14ac:dyDescent="0.3">
      <c r="A7" s="291" t="s">
        <v>277</v>
      </c>
      <c r="B7" s="292" t="s">
        <v>431</v>
      </c>
      <c r="C7" s="295"/>
      <c r="D7" s="295"/>
      <c r="E7" s="295">
        <v>159</v>
      </c>
      <c r="F7" s="296">
        <v>1449</v>
      </c>
      <c r="G7" s="295">
        <v>101</v>
      </c>
      <c r="H7" s="296">
        <v>1049</v>
      </c>
      <c r="I7" s="295">
        <v>141</v>
      </c>
      <c r="J7" s="296">
        <v>1135</v>
      </c>
    </row>
    <row r="8" spans="1:10" ht="15.75" thickBot="1" x14ac:dyDescent="0.3">
      <c r="A8" s="291" t="s">
        <v>277</v>
      </c>
      <c r="B8" s="292" t="s">
        <v>1234</v>
      </c>
      <c r="C8" s="293"/>
      <c r="D8" s="293"/>
      <c r="E8" s="294">
        <v>7585</v>
      </c>
      <c r="F8" s="293">
        <v>953</v>
      </c>
      <c r="G8" s="294">
        <v>8345</v>
      </c>
      <c r="H8" s="294">
        <v>1037</v>
      </c>
      <c r="I8" s="294">
        <v>13201</v>
      </c>
      <c r="J8" s="293">
        <v>999</v>
      </c>
    </row>
    <row r="9" spans="1:10" ht="15.75" thickBot="1" x14ac:dyDescent="0.3">
      <c r="A9" s="291" t="s">
        <v>277</v>
      </c>
      <c r="B9" s="292" t="s">
        <v>1235</v>
      </c>
      <c r="C9" s="295"/>
      <c r="D9" s="295"/>
      <c r="E9" s="295">
        <v>1</v>
      </c>
      <c r="F9" s="296">
        <v>2394</v>
      </c>
      <c r="G9" s="295">
        <v>2</v>
      </c>
      <c r="H9" s="296">
        <v>1239</v>
      </c>
      <c r="I9" s="295">
        <v>4</v>
      </c>
      <c r="J9" s="296">
        <v>2124</v>
      </c>
    </row>
    <row r="10" spans="1:10" ht="15.75" thickBot="1" x14ac:dyDescent="0.3">
      <c r="A10" s="291" t="s">
        <v>277</v>
      </c>
      <c r="B10" s="292" t="s">
        <v>1236</v>
      </c>
      <c r="C10" s="293"/>
      <c r="D10" s="293"/>
      <c r="E10" s="293"/>
      <c r="F10" s="293"/>
      <c r="G10" s="293">
        <v>1</v>
      </c>
      <c r="H10" s="293">
        <v>649</v>
      </c>
      <c r="I10" s="293">
        <v>2</v>
      </c>
      <c r="J10" s="294">
        <v>3543</v>
      </c>
    </row>
    <row r="11" spans="1:10" ht="15.75" thickBot="1" x14ac:dyDescent="0.3">
      <c r="A11" s="291" t="s">
        <v>277</v>
      </c>
      <c r="B11" s="292" t="s">
        <v>1237</v>
      </c>
      <c r="C11" s="295"/>
      <c r="D11" s="295"/>
      <c r="E11" s="295"/>
      <c r="F11" s="295"/>
      <c r="G11" s="295"/>
      <c r="H11" s="295"/>
      <c r="I11" s="295">
        <v>1</v>
      </c>
      <c r="J11" s="296">
        <v>1503</v>
      </c>
    </row>
    <row r="12" spans="1:10" ht="15.75" thickBot="1" x14ac:dyDescent="0.3">
      <c r="A12" s="291" t="s">
        <v>277</v>
      </c>
      <c r="B12" s="292" t="s">
        <v>432</v>
      </c>
      <c r="C12" s="293"/>
      <c r="D12" s="293"/>
      <c r="E12" s="294">
        <v>2417</v>
      </c>
      <c r="F12" s="293">
        <v>752</v>
      </c>
      <c r="G12" s="294">
        <v>3794</v>
      </c>
      <c r="H12" s="293">
        <v>859</v>
      </c>
      <c r="I12" s="294">
        <v>3799</v>
      </c>
      <c r="J12" s="294">
        <v>1372</v>
      </c>
    </row>
    <row r="13" spans="1:10" ht="15.75" thickBot="1" x14ac:dyDescent="0.3">
      <c r="A13" s="291" t="s">
        <v>277</v>
      </c>
      <c r="B13" s="292" t="s">
        <v>1238</v>
      </c>
      <c r="C13" s="295"/>
      <c r="D13" s="295"/>
      <c r="E13" s="295">
        <v>3</v>
      </c>
      <c r="F13" s="296">
        <v>2390</v>
      </c>
      <c r="G13" s="295">
        <v>4</v>
      </c>
      <c r="H13" s="295">
        <v>871</v>
      </c>
      <c r="I13" s="295">
        <v>2</v>
      </c>
      <c r="J13" s="296">
        <v>2202</v>
      </c>
    </row>
    <row r="14" spans="1:10" ht="15.75" thickBot="1" x14ac:dyDescent="0.3">
      <c r="A14" s="291" t="s">
        <v>277</v>
      </c>
      <c r="B14" s="292" t="s">
        <v>1239</v>
      </c>
      <c r="C14" s="293"/>
      <c r="D14" s="293"/>
      <c r="E14" s="293">
        <v>6</v>
      </c>
      <c r="F14" s="294">
        <v>2270</v>
      </c>
      <c r="G14" s="293">
        <v>3</v>
      </c>
      <c r="H14" s="294">
        <v>1724</v>
      </c>
      <c r="I14" s="293">
        <v>3</v>
      </c>
      <c r="J14" s="294">
        <v>1750</v>
      </c>
    </row>
    <row r="15" spans="1:10" ht="15.75" thickBot="1" x14ac:dyDescent="0.3">
      <c r="A15" s="291" t="s">
        <v>277</v>
      </c>
      <c r="B15" s="292" t="s">
        <v>1240</v>
      </c>
      <c r="C15" s="295"/>
      <c r="D15" s="295"/>
      <c r="E15" s="296">
        <v>3280</v>
      </c>
      <c r="F15" s="295">
        <v>823</v>
      </c>
      <c r="G15" s="296">
        <v>2975</v>
      </c>
      <c r="H15" s="295">
        <v>961</v>
      </c>
      <c r="I15" s="296">
        <v>3172</v>
      </c>
      <c r="J15" s="295">
        <v>983</v>
      </c>
    </row>
    <row r="16" spans="1:10" ht="15.75" thickBot="1" x14ac:dyDescent="0.3">
      <c r="A16" s="291" t="s">
        <v>277</v>
      </c>
      <c r="B16" s="292" t="s">
        <v>433</v>
      </c>
      <c r="C16" s="293"/>
      <c r="D16" s="293"/>
      <c r="E16" s="294">
        <v>3488</v>
      </c>
      <c r="F16" s="294">
        <v>1869</v>
      </c>
      <c r="G16" s="294">
        <v>6159</v>
      </c>
      <c r="H16" s="294">
        <v>1351</v>
      </c>
      <c r="I16" s="294">
        <v>7935</v>
      </c>
      <c r="J16" s="294">
        <v>1187</v>
      </c>
    </row>
    <row r="17" spans="1:10" ht="15.75" thickBot="1" x14ac:dyDescent="0.3">
      <c r="A17" s="291" t="s">
        <v>277</v>
      </c>
      <c r="B17" s="292" t="s">
        <v>434</v>
      </c>
      <c r="C17" s="295"/>
      <c r="D17" s="295"/>
      <c r="E17" s="295">
        <v>634</v>
      </c>
      <c r="F17" s="295">
        <v>820</v>
      </c>
      <c r="G17" s="295">
        <v>47</v>
      </c>
      <c r="H17" s="295">
        <v>537</v>
      </c>
      <c r="I17" s="295"/>
      <c r="J17" s="295"/>
    </row>
    <row r="18" spans="1:10" ht="15.75" thickBot="1" x14ac:dyDescent="0.3">
      <c r="A18" s="291" t="s">
        <v>277</v>
      </c>
      <c r="B18" s="292" t="s">
        <v>1370</v>
      </c>
      <c r="C18" s="293"/>
      <c r="D18" s="293"/>
      <c r="E18" s="294">
        <v>6384</v>
      </c>
      <c r="F18" s="293">
        <v>640</v>
      </c>
      <c r="G18" s="294">
        <v>6436</v>
      </c>
      <c r="H18" s="293">
        <v>395</v>
      </c>
      <c r="I18" s="294">
        <v>2220</v>
      </c>
      <c r="J18" s="293">
        <v>770</v>
      </c>
    </row>
    <row r="19" spans="1:10" ht="15.75" thickBot="1" x14ac:dyDescent="0.3">
      <c r="A19" s="291" t="s">
        <v>277</v>
      </c>
      <c r="B19" s="292" t="s">
        <v>1371</v>
      </c>
      <c r="C19" s="295"/>
      <c r="D19" s="295"/>
      <c r="E19" s="295">
        <v>1</v>
      </c>
      <c r="F19" s="296">
        <v>1688</v>
      </c>
      <c r="G19" s="295"/>
      <c r="H19" s="295"/>
      <c r="I19" s="295"/>
      <c r="J19" s="295"/>
    </row>
    <row r="20" spans="1:10" ht="15.75" thickBot="1" x14ac:dyDescent="0.3">
      <c r="A20" s="291" t="s">
        <v>277</v>
      </c>
      <c r="B20" s="292" t="s">
        <v>1372</v>
      </c>
      <c r="C20" s="293"/>
      <c r="D20" s="293"/>
      <c r="E20" s="293"/>
      <c r="F20" s="293"/>
      <c r="G20" s="293">
        <v>1</v>
      </c>
      <c r="H20" s="294">
        <v>1175</v>
      </c>
      <c r="I20" s="293"/>
      <c r="J20" s="293"/>
    </row>
    <row r="21" spans="1:10" ht="15.75" thickBot="1" x14ac:dyDescent="0.3">
      <c r="A21" s="291" t="s">
        <v>277</v>
      </c>
      <c r="B21" s="292" t="s">
        <v>435</v>
      </c>
      <c r="C21" s="295"/>
      <c r="D21" s="295"/>
      <c r="E21" s="296">
        <v>1191</v>
      </c>
      <c r="F21" s="296">
        <v>1316</v>
      </c>
      <c r="G21" s="296">
        <v>4571</v>
      </c>
      <c r="H21" s="295">
        <v>836</v>
      </c>
      <c r="I21" s="296">
        <v>4878</v>
      </c>
      <c r="J21" s="295">
        <v>803</v>
      </c>
    </row>
    <row r="22" spans="1:10" ht="15.75" thickBot="1" x14ac:dyDescent="0.3">
      <c r="A22" s="291" t="s">
        <v>277</v>
      </c>
      <c r="B22" s="292" t="s">
        <v>436</v>
      </c>
      <c r="C22" s="293"/>
      <c r="D22" s="293"/>
      <c r="E22" s="293">
        <v>2</v>
      </c>
      <c r="F22" s="294">
        <v>1363</v>
      </c>
      <c r="G22" s="293">
        <v>4</v>
      </c>
      <c r="H22" s="294">
        <v>1264</v>
      </c>
      <c r="I22" s="293">
        <v>3</v>
      </c>
      <c r="J22" s="294">
        <v>2038</v>
      </c>
    </row>
    <row r="23" spans="1:10" ht="15.75" thickBot="1" x14ac:dyDescent="0.3">
      <c r="A23" s="291" t="s">
        <v>277</v>
      </c>
      <c r="B23" s="292" t="s">
        <v>1242</v>
      </c>
      <c r="C23" s="295"/>
      <c r="D23" s="295"/>
      <c r="E23" s="296">
        <v>1474</v>
      </c>
      <c r="F23" s="296">
        <v>1846</v>
      </c>
      <c r="G23" s="295">
        <v>5</v>
      </c>
      <c r="H23" s="296">
        <v>1686</v>
      </c>
      <c r="I23" s="296">
        <v>3974</v>
      </c>
      <c r="J23" s="296">
        <v>1275</v>
      </c>
    </row>
    <row r="24" spans="1:10" ht="15.75" thickBot="1" x14ac:dyDescent="0.3">
      <c r="A24" s="291" t="s">
        <v>277</v>
      </c>
      <c r="B24" s="292" t="s">
        <v>437</v>
      </c>
      <c r="C24" s="293"/>
      <c r="D24" s="293"/>
      <c r="E24" s="293">
        <v>631</v>
      </c>
      <c r="F24" s="294">
        <v>1309</v>
      </c>
      <c r="G24" s="293"/>
      <c r="H24" s="293"/>
      <c r="I24" s="293">
        <v>1</v>
      </c>
      <c r="J24" s="294">
        <v>2210</v>
      </c>
    </row>
    <row r="25" spans="1:10" ht="15.75" thickBot="1" x14ac:dyDescent="0.3">
      <c r="A25" s="291" t="s">
        <v>277</v>
      </c>
      <c r="B25" s="292" t="s">
        <v>176</v>
      </c>
      <c r="C25" s="293"/>
      <c r="D25" s="293"/>
      <c r="E25" s="293"/>
      <c r="F25" s="293"/>
      <c r="G25" s="293"/>
      <c r="H25" s="293"/>
      <c r="I25" s="294">
        <v>1848</v>
      </c>
      <c r="J25" s="294">
        <v>2663</v>
      </c>
    </row>
    <row r="26" spans="1:10" ht="15.75" thickBot="1" x14ac:dyDescent="0.3">
      <c r="A26" s="291" t="s">
        <v>277</v>
      </c>
      <c r="B26" s="292" t="s">
        <v>1243</v>
      </c>
      <c r="C26" s="295"/>
      <c r="D26" s="295"/>
      <c r="E26" s="295"/>
      <c r="F26" s="295"/>
      <c r="G26" s="295"/>
      <c r="H26" s="295"/>
      <c r="I26" s="295">
        <v>708</v>
      </c>
      <c r="J26" s="296">
        <v>1038</v>
      </c>
    </row>
    <row r="27" spans="1:10" ht="15.75" thickBot="1" x14ac:dyDescent="0.3">
      <c r="A27" s="291" t="s">
        <v>277</v>
      </c>
      <c r="B27" s="292" t="s">
        <v>441</v>
      </c>
      <c r="C27" s="293"/>
      <c r="D27" s="293"/>
      <c r="E27" s="294">
        <v>1002</v>
      </c>
      <c r="F27" s="294">
        <v>1663</v>
      </c>
      <c r="G27" s="293"/>
      <c r="H27" s="293"/>
      <c r="I27" s="294">
        <v>1081</v>
      </c>
      <c r="J27" s="293">
        <v>431</v>
      </c>
    </row>
    <row r="28" spans="1:10" ht="15.75" thickBot="1" x14ac:dyDescent="0.3">
      <c r="A28" s="291" t="s">
        <v>277</v>
      </c>
      <c r="B28" s="292" t="s">
        <v>1245</v>
      </c>
      <c r="C28" s="293"/>
      <c r="D28" s="293"/>
      <c r="E28" s="294">
        <v>2442</v>
      </c>
      <c r="F28" s="294">
        <v>1297</v>
      </c>
      <c r="G28" s="294">
        <v>2123</v>
      </c>
      <c r="H28" s="293">
        <v>903</v>
      </c>
      <c r="I28" s="293">
        <v>518</v>
      </c>
      <c r="J28" s="293">
        <v>998</v>
      </c>
    </row>
    <row r="29" spans="1:10" ht="15.75" thickBot="1" x14ac:dyDescent="0.3">
      <c r="A29" s="291" t="s">
        <v>277</v>
      </c>
      <c r="B29" s="292" t="s">
        <v>443</v>
      </c>
      <c r="C29" s="295"/>
      <c r="D29" s="295"/>
      <c r="E29" s="295"/>
      <c r="F29" s="295"/>
      <c r="G29" s="296">
        <v>1130</v>
      </c>
      <c r="H29" s="296">
        <v>1010</v>
      </c>
      <c r="I29" s="296">
        <v>1070</v>
      </c>
      <c r="J29" s="295">
        <v>615</v>
      </c>
    </row>
    <row r="30" spans="1:10" ht="15.75" thickBot="1" x14ac:dyDescent="0.3">
      <c r="A30" s="291" t="s">
        <v>277</v>
      </c>
      <c r="B30" s="292" t="s">
        <v>1246</v>
      </c>
      <c r="C30" s="293"/>
      <c r="D30" s="293"/>
      <c r="E30" s="293"/>
      <c r="F30" s="293"/>
      <c r="G30" s="294">
        <v>4280</v>
      </c>
      <c r="H30" s="293">
        <v>898</v>
      </c>
      <c r="I30" s="294">
        <v>3473</v>
      </c>
      <c r="J30" s="294">
        <v>1143</v>
      </c>
    </row>
    <row r="31" spans="1:10" ht="15.75" thickBot="1" x14ac:dyDescent="0.3">
      <c r="A31" s="291" t="s">
        <v>277</v>
      </c>
      <c r="B31" s="292" t="s">
        <v>1248</v>
      </c>
      <c r="C31" s="295"/>
      <c r="D31" s="295"/>
      <c r="E31" s="295"/>
      <c r="F31" s="295"/>
      <c r="G31" s="295">
        <v>1</v>
      </c>
      <c r="H31" s="295">
        <v>942</v>
      </c>
      <c r="I31" s="295">
        <v>1</v>
      </c>
      <c r="J31" s="296">
        <v>3728</v>
      </c>
    </row>
    <row r="32" spans="1:10" ht="15.75" thickBot="1" x14ac:dyDescent="0.3">
      <c r="A32" s="291" t="s">
        <v>277</v>
      </c>
      <c r="B32" s="292" t="s">
        <v>1247</v>
      </c>
      <c r="C32" s="293"/>
      <c r="D32" s="293"/>
      <c r="E32" s="293"/>
      <c r="F32" s="293"/>
      <c r="G32" s="293"/>
      <c r="H32" s="293"/>
      <c r="I32" s="294">
        <v>5302</v>
      </c>
      <c r="J32" s="293">
        <v>736</v>
      </c>
    </row>
    <row r="33" spans="1:10" ht="30.75" thickBot="1" x14ac:dyDescent="0.3">
      <c r="A33" s="364" t="s">
        <v>277</v>
      </c>
      <c r="B33" s="365" t="s">
        <v>125</v>
      </c>
      <c r="C33" s="365"/>
      <c r="D33" s="365"/>
      <c r="E33" s="366">
        <v>37734</v>
      </c>
      <c r="F33" s="366">
        <v>1036</v>
      </c>
      <c r="G33" s="366">
        <v>46956</v>
      </c>
      <c r="H33" s="365">
        <v>948</v>
      </c>
      <c r="I33" s="366">
        <v>60592</v>
      </c>
      <c r="J33" s="366">
        <v>1095</v>
      </c>
    </row>
  </sheetData>
  <mergeCells count="5">
    <mergeCell ref="C3:F3"/>
    <mergeCell ref="G3:J3"/>
    <mergeCell ref="C4:D4"/>
    <mergeCell ref="E4:H4"/>
    <mergeCell ref="I4:J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workbookViewId="0"/>
  </sheetViews>
  <sheetFormatPr defaultRowHeight="15" x14ac:dyDescent="0.25"/>
  <cols>
    <col min="1" max="1" width="6.5703125" customWidth="1"/>
    <col min="2" max="2" width="31.28515625" bestFit="1" customWidth="1"/>
    <col min="3" max="3" width="36.5703125" bestFit="1" customWidth="1"/>
    <col min="4" max="4" width="11.42578125" hidden="1" customWidth="1"/>
    <col min="5" max="5" width="29.85546875" hidden="1" customWidth="1"/>
    <col min="6" max="6" width="11.42578125" hidden="1" customWidth="1"/>
    <col min="7" max="7" width="29.85546875" hidden="1" customWidth="1"/>
    <col min="8" max="8" width="11.42578125" bestFit="1" customWidth="1"/>
    <col min="9" max="9" width="29.85546875" bestFit="1" customWidth="1"/>
    <col min="10" max="10" width="11.42578125" bestFit="1" customWidth="1"/>
    <col min="11" max="11" width="29.85546875" bestFit="1" customWidth="1"/>
  </cols>
  <sheetData>
    <row r="1" spans="1:11" x14ac:dyDescent="0.25">
      <c r="A1" t="s">
        <v>1376</v>
      </c>
    </row>
    <row r="2" spans="1:11" ht="15.75" thickBot="1" x14ac:dyDescent="0.3"/>
    <row r="3" spans="1:11" ht="15.75" thickBot="1" x14ac:dyDescent="0.3">
      <c r="A3" s="287" t="s">
        <v>421</v>
      </c>
      <c r="B3" s="287" t="s">
        <v>422</v>
      </c>
      <c r="C3" s="288" t="s">
        <v>1377</v>
      </c>
      <c r="D3" s="469" t="s">
        <v>423</v>
      </c>
      <c r="E3" s="470"/>
      <c r="F3" s="470"/>
      <c r="G3" s="471"/>
      <c r="H3" s="472" t="s">
        <v>424</v>
      </c>
      <c r="I3" s="470"/>
      <c r="J3" s="470"/>
      <c r="K3" s="473"/>
    </row>
    <row r="4" spans="1:11" ht="15.75" thickBot="1" x14ac:dyDescent="0.3">
      <c r="A4" s="287"/>
      <c r="B4" s="287"/>
      <c r="C4" s="288"/>
      <c r="D4" s="469" t="s">
        <v>425</v>
      </c>
      <c r="E4" s="471"/>
      <c r="F4" s="472" t="s">
        <v>426</v>
      </c>
      <c r="G4" s="470"/>
      <c r="H4" s="470"/>
      <c r="I4" s="471"/>
      <c r="J4" s="472" t="s">
        <v>427</v>
      </c>
      <c r="K4" s="473"/>
    </row>
    <row r="5" spans="1:11" ht="15.75" thickBot="1" x14ac:dyDescent="0.3">
      <c r="A5" s="289"/>
      <c r="B5" s="289"/>
      <c r="C5" s="290"/>
      <c r="D5" s="289" t="s">
        <v>428</v>
      </c>
      <c r="E5" s="289" t="s">
        <v>429</v>
      </c>
      <c r="F5" s="289" t="s">
        <v>428</v>
      </c>
      <c r="G5" s="289" t="s">
        <v>429</v>
      </c>
      <c r="H5" s="289" t="s">
        <v>428</v>
      </c>
      <c r="I5" s="289" t="s">
        <v>429</v>
      </c>
      <c r="J5" s="289" t="s">
        <v>428</v>
      </c>
      <c r="K5" s="290" t="s">
        <v>429</v>
      </c>
    </row>
    <row r="6" spans="1:11" ht="30.75" thickBot="1" x14ac:dyDescent="0.3">
      <c r="A6" s="291" t="s">
        <v>287</v>
      </c>
      <c r="B6" s="322" t="s">
        <v>431</v>
      </c>
      <c r="C6" s="292" t="s">
        <v>1489</v>
      </c>
      <c r="D6" s="293"/>
      <c r="E6" s="293"/>
      <c r="F6" s="293"/>
      <c r="G6" s="293"/>
      <c r="H6" s="293">
        <v>1</v>
      </c>
      <c r="I6" s="293">
        <v>0</v>
      </c>
      <c r="J6" s="293"/>
      <c r="K6" s="293"/>
    </row>
    <row r="7" spans="1:11" ht="30.75" thickBot="1" x14ac:dyDescent="0.3">
      <c r="A7" s="291" t="s">
        <v>287</v>
      </c>
      <c r="B7" s="322" t="s">
        <v>431</v>
      </c>
      <c r="C7" s="292" t="s">
        <v>1490</v>
      </c>
      <c r="D7" s="295"/>
      <c r="E7" s="295"/>
      <c r="F7" s="295">
        <v>6</v>
      </c>
      <c r="G7" s="296">
        <v>3257</v>
      </c>
      <c r="H7" s="295">
        <v>1</v>
      </c>
      <c r="I7" s="295">
        <v>563</v>
      </c>
      <c r="J7" s="295">
        <v>2</v>
      </c>
      <c r="K7" s="296">
        <v>7489</v>
      </c>
    </row>
    <row r="8" spans="1:11" ht="15.75" thickBot="1" x14ac:dyDescent="0.3">
      <c r="A8" s="291" t="s">
        <v>287</v>
      </c>
      <c r="B8" s="322" t="s">
        <v>430</v>
      </c>
      <c r="C8" s="292" t="s">
        <v>1491</v>
      </c>
      <c r="D8" s="293"/>
      <c r="E8" s="293"/>
      <c r="F8" s="293"/>
      <c r="G8" s="293"/>
      <c r="H8" s="293"/>
      <c r="I8" s="293"/>
      <c r="J8" s="293">
        <v>14</v>
      </c>
      <c r="K8" s="294">
        <v>5578</v>
      </c>
    </row>
    <row r="9" spans="1:11" ht="15.75" thickBot="1" x14ac:dyDescent="0.3">
      <c r="A9" s="291" t="s">
        <v>287</v>
      </c>
      <c r="B9" s="322" t="s">
        <v>433</v>
      </c>
      <c r="C9" s="292" t="s">
        <v>1492</v>
      </c>
      <c r="D9" s="295"/>
      <c r="E9" s="295"/>
      <c r="F9" s="295">
        <v>4</v>
      </c>
      <c r="G9" s="296">
        <v>1496</v>
      </c>
      <c r="H9" s="295">
        <v>1</v>
      </c>
      <c r="I9" s="296">
        <v>1643</v>
      </c>
      <c r="J9" s="295"/>
      <c r="K9" s="295"/>
    </row>
    <row r="10" spans="1:11" ht="30.75" thickBot="1" x14ac:dyDescent="0.3">
      <c r="A10" s="291" t="s">
        <v>287</v>
      </c>
      <c r="B10" s="322" t="s">
        <v>433</v>
      </c>
      <c r="C10" s="292" t="s">
        <v>1493</v>
      </c>
      <c r="D10" s="295"/>
      <c r="E10" s="295"/>
      <c r="F10" s="295">
        <v>24</v>
      </c>
      <c r="G10" s="296">
        <v>1044</v>
      </c>
      <c r="H10" s="323">
        <v>82</v>
      </c>
      <c r="I10" s="341">
        <v>3115</v>
      </c>
      <c r="J10" s="323">
        <v>122</v>
      </c>
      <c r="K10" s="341">
        <v>3265</v>
      </c>
    </row>
    <row r="11" spans="1:11" ht="15.75" thickBot="1" x14ac:dyDescent="0.3">
      <c r="A11" s="291" t="s">
        <v>287</v>
      </c>
      <c r="B11" s="322" t="s">
        <v>433</v>
      </c>
      <c r="C11" s="292" t="s">
        <v>1494</v>
      </c>
      <c r="D11" s="293"/>
      <c r="E11" s="293"/>
      <c r="F11" s="293"/>
      <c r="G11" s="293"/>
      <c r="H11" s="293">
        <v>1</v>
      </c>
      <c r="I11" s="294">
        <v>4294</v>
      </c>
      <c r="J11" s="293"/>
      <c r="K11" s="293"/>
    </row>
    <row r="12" spans="1:11" ht="15.75" thickBot="1" x14ac:dyDescent="0.3">
      <c r="A12" s="291" t="s">
        <v>287</v>
      </c>
      <c r="B12" s="322" t="s">
        <v>433</v>
      </c>
      <c r="C12" s="292" t="s">
        <v>1495</v>
      </c>
      <c r="D12" s="295"/>
      <c r="E12" s="295"/>
      <c r="F12" s="295"/>
      <c r="G12" s="295"/>
      <c r="H12" s="295"/>
      <c r="I12" s="295"/>
      <c r="J12" s="295">
        <v>1</v>
      </c>
      <c r="K12" s="296">
        <v>2678</v>
      </c>
    </row>
    <row r="13" spans="1:11" ht="15.75" thickBot="1" x14ac:dyDescent="0.3">
      <c r="A13" s="291" t="s">
        <v>287</v>
      </c>
      <c r="B13" s="322" t="s">
        <v>434</v>
      </c>
      <c r="C13" s="292" t="s">
        <v>1496</v>
      </c>
      <c r="D13" s="295"/>
      <c r="E13" s="295"/>
      <c r="F13" s="295">
        <v>1</v>
      </c>
      <c r="G13" s="295">
        <v>343</v>
      </c>
      <c r="H13" s="295">
        <v>1</v>
      </c>
      <c r="I13" s="296">
        <v>1315</v>
      </c>
      <c r="J13" s="295"/>
      <c r="K13" s="295"/>
    </row>
    <row r="14" spans="1:11" ht="30.75" thickBot="1" x14ac:dyDescent="0.3">
      <c r="A14" s="291" t="s">
        <v>287</v>
      </c>
      <c r="B14" s="322" t="s">
        <v>435</v>
      </c>
      <c r="C14" s="292" t="s">
        <v>1497</v>
      </c>
      <c r="D14" s="295"/>
      <c r="E14" s="295"/>
      <c r="F14" s="295">
        <v>1</v>
      </c>
      <c r="G14" s="295">
        <v>849</v>
      </c>
      <c r="H14" s="295">
        <v>2</v>
      </c>
      <c r="I14" s="295">
        <v>820</v>
      </c>
      <c r="J14" s="295"/>
      <c r="K14" s="295"/>
    </row>
    <row r="15" spans="1:11" ht="30.75" thickBot="1" x14ac:dyDescent="0.3">
      <c r="A15" s="291" t="s">
        <v>287</v>
      </c>
      <c r="B15" s="322" t="s">
        <v>435</v>
      </c>
      <c r="C15" s="292" t="s">
        <v>1498</v>
      </c>
      <c r="D15" s="295"/>
      <c r="E15" s="295"/>
      <c r="F15" s="295">
        <v>19</v>
      </c>
      <c r="G15" s="296">
        <v>3856</v>
      </c>
      <c r="H15" s="323">
        <v>64</v>
      </c>
      <c r="I15" s="341">
        <v>3859</v>
      </c>
      <c r="J15" s="323">
        <v>24</v>
      </c>
      <c r="K15" s="341">
        <v>6222</v>
      </c>
    </row>
    <row r="16" spans="1:11" ht="30.75" thickBot="1" x14ac:dyDescent="0.3">
      <c r="A16" s="291" t="s">
        <v>287</v>
      </c>
      <c r="B16" s="322" t="s">
        <v>176</v>
      </c>
      <c r="C16" s="292" t="s">
        <v>1499</v>
      </c>
      <c r="D16" s="295"/>
      <c r="E16" s="295"/>
      <c r="F16" s="295"/>
      <c r="G16" s="295"/>
      <c r="H16" s="323">
        <v>18</v>
      </c>
      <c r="I16" s="341">
        <v>8821</v>
      </c>
      <c r="J16" s="323">
        <v>47</v>
      </c>
      <c r="K16" s="341">
        <v>7457</v>
      </c>
    </row>
    <row r="17" spans="1:11" ht="30.75" thickBot="1" x14ac:dyDescent="0.3">
      <c r="A17" s="291" t="s">
        <v>287</v>
      </c>
      <c r="B17" s="322" t="s">
        <v>1245</v>
      </c>
      <c r="C17" s="292" t="s">
        <v>1500</v>
      </c>
      <c r="D17" s="293"/>
      <c r="E17" s="293"/>
      <c r="F17" s="293"/>
      <c r="G17" s="293"/>
      <c r="H17" s="325"/>
      <c r="I17" s="325"/>
      <c r="J17" s="325">
        <v>1</v>
      </c>
      <c r="K17" s="326">
        <v>2094</v>
      </c>
    </row>
    <row r="18" spans="1:11" ht="15.75" thickBot="1" x14ac:dyDescent="0.3">
      <c r="A18" s="291" t="s">
        <v>287</v>
      </c>
      <c r="B18" s="322" t="s">
        <v>443</v>
      </c>
      <c r="C18" s="292" t="s">
        <v>1399</v>
      </c>
      <c r="D18" s="295"/>
      <c r="E18" s="295"/>
      <c r="F18" s="295"/>
      <c r="G18" s="295"/>
      <c r="H18" s="323"/>
      <c r="I18" s="323"/>
      <c r="J18" s="323">
        <v>1</v>
      </c>
      <c r="K18" s="341">
        <v>2473</v>
      </c>
    </row>
    <row r="19" spans="1:11" ht="15.75" thickBot="1" x14ac:dyDescent="0.3">
      <c r="A19" s="291" t="s">
        <v>287</v>
      </c>
      <c r="B19" s="322" t="s">
        <v>443</v>
      </c>
      <c r="C19" s="292" t="s">
        <v>1501</v>
      </c>
      <c r="D19" s="293"/>
      <c r="E19" s="293"/>
      <c r="F19" s="293"/>
      <c r="G19" s="293"/>
      <c r="H19" s="325">
        <v>1</v>
      </c>
      <c r="I19" s="326">
        <v>2591</v>
      </c>
      <c r="J19" s="325"/>
      <c r="K19" s="325"/>
    </row>
    <row r="20" spans="1:11" ht="15.75" thickBot="1" x14ac:dyDescent="0.3">
      <c r="A20" s="291" t="s">
        <v>287</v>
      </c>
      <c r="B20" s="322" t="s">
        <v>1246</v>
      </c>
      <c r="C20" s="292" t="s">
        <v>1502</v>
      </c>
      <c r="D20" s="295"/>
      <c r="E20" s="295"/>
      <c r="F20" s="295"/>
      <c r="G20" s="295"/>
      <c r="H20" s="323">
        <v>37</v>
      </c>
      <c r="I20" s="341">
        <v>1124</v>
      </c>
      <c r="J20" s="323">
        <v>30</v>
      </c>
      <c r="K20" s="341">
        <v>1388</v>
      </c>
    </row>
    <row r="21" spans="1:11" ht="15.75" thickBot="1" x14ac:dyDescent="0.3">
      <c r="A21" s="297" t="s">
        <v>287</v>
      </c>
      <c r="B21" s="342" t="s">
        <v>1248</v>
      </c>
      <c r="C21" s="295" t="s">
        <v>1503</v>
      </c>
      <c r="D21" s="293"/>
      <c r="E21" s="293"/>
      <c r="F21" s="293"/>
      <c r="G21" s="293"/>
      <c r="H21" s="293"/>
      <c r="I21" s="293"/>
      <c r="J21" s="293">
        <v>1</v>
      </c>
      <c r="K21" s="294">
        <v>1705</v>
      </c>
    </row>
    <row r="23" spans="1:11" ht="15.75" thickBot="1" x14ac:dyDescent="0.3"/>
    <row r="24" spans="1:11" ht="15.75" thickBot="1" x14ac:dyDescent="0.3">
      <c r="A24" s="287" t="s">
        <v>421</v>
      </c>
      <c r="B24" s="287" t="s">
        <v>422</v>
      </c>
      <c r="C24" s="288" t="s">
        <v>1377</v>
      </c>
      <c r="D24" s="469" t="s">
        <v>423</v>
      </c>
      <c r="E24" s="470"/>
      <c r="F24" s="470"/>
      <c r="G24" s="471"/>
      <c r="H24" s="472" t="s">
        <v>424</v>
      </c>
      <c r="I24" s="470"/>
      <c r="J24" s="470"/>
      <c r="K24" s="473"/>
    </row>
    <row r="25" spans="1:11" ht="15.75" thickBot="1" x14ac:dyDescent="0.3">
      <c r="A25" s="287"/>
      <c r="B25" s="287"/>
      <c r="C25" s="288"/>
      <c r="D25" s="469" t="s">
        <v>425</v>
      </c>
      <c r="E25" s="471"/>
      <c r="F25" s="472" t="s">
        <v>426</v>
      </c>
      <c r="G25" s="470"/>
      <c r="H25" s="470"/>
      <c r="I25" s="471"/>
      <c r="J25" s="472" t="s">
        <v>427</v>
      </c>
      <c r="K25" s="473"/>
    </row>
    <row r="26" spans="1:11" ht="15.75" thickBot="1" x14ac:dyDescent="0.3">
      <c r="A26" s="289"/>
      <c r="B26" s="289"/>
      <c r="C26" s="290"/>
      <c r="D26" s="289" t="s">
        <v>428</v>
      </c>
      <c r="E26" s="289" t="s">
        <v>429</v>
      </c>
      <c r="F26" s="289" t="s">
        <v>428</v>
      </c>
      <c r="G26" s="289" t="s">
        <v>429</v>
      </c>
      <c r="H26" s="289" t="s">
        <v>428</v>
      </c>
      <c r="I26" s="289" t="s">
        <v>429</v>
      </c>
      <c r="J26" s="289" t="s">
        <v>428</v>
      </c>
      <c r="K26" s="290" t="s">
        <v>429</v>
      </c>
    </row>
    <row r="27" spans="1:11" ht="30.75" thickBot="1" x14ac:dyDescent="0.3">
      <c r="A27" s="291" t="s">
        <v>1504</v>
      </c>
      <c r="B27" s="322" t="s">
        <v>431</v>
      </c>
      <c r="C27" s="292" t="s">
        <v>1505</v>
      </c>
      <c r="D27" s="295"/>
      <c r="E27" s="295"/>
      <c r="F27" s="295">
        <v>1</v>
      </c>
      <c r="G27" s="296">
        <v>2676</v>
      </c>
      <c r="H27" s="295">
        <v>2</v>
      </c>
      <c r="I27" s="296">
        <v>5547</v>
      </c>
      <c r="J27" s="295"/>
      <c r="K27" s="295"/>
    </row>
    <row r="28" spans="1:11" ht="30.75" thickBot="1" x14ac:dyDescent="0.3">
      <c r="A28" s="291" t="s">
        <v>1504</v>
      </c>
      <c r="B28" s="322" t="s">
        <v>431</v>
      </c>
      <c r="C28" s="292" t="s">
        <v>1506</v>
      </c>
      <c r="D28" s="293"/>
      <c r="E28" s="293"/>
      <c r="F28" s="293">
        <v>2</v>
      </c>
      <c r="G28" s="294">
        <v>2583</v>
      </c>
      <c r="H28" s="325">
        <v>1</v>
      </c>
      <c r="I28" s="325">
        <v>636</v>
      </c>
      <c r="J28" s="325"/>
      <c r="K28" s="325"/>
    </row>
    <row r="29" spans="1:11" ht="30.75" thickBot="1" x14ac:dyDescent="0.3">
      <c r="A29" s="291" t="s">
        <v>1504</v>
      </c>
      <c r="B29" s="322" t="s">
        <v>431</v>
      </c>
      <c r="C29" s="292" t="s">
        <v>1507</v>
      </c>
      <c r="D29" s="295"/>
      <c r="E29" s="295"/>
      <c r="F29" s="295">
        <v>1</v>
      </c>
      <c r="G29" s="295">
        <v>495</v>
      </c>
      <c r="H29" s="323">
        <v>1</v>
      </c>
      <c r="I29" s="341">
        <v>1552</v>
      </c>
      <c r="J29" s="323">
        <v>36</v>
      </c>
      <c r="K29" s="341">
        <v>7034</v>
      </c>
    </row>
    <row r="30" spans="1:11" ht="30.75" thickBot="1" x14ac:dyDescent="0.3">
      <c r="A30" s="291" t="s">
        <v>1504</v>
      </c>
      <c r="B30" s="322" t="s">
        <v>431</v>
      </c>
      <c r="C30" s="292" t="s">
        <v>1508</v>
      </c>
      <c r="D30" s="293"/>
      <c r="E30" s="293"/>
      <c r="F30" s="293"/>
      <c r="G30" s="293"/>
      <c r="H30" s="325">
        <v>1</v>
      </c>
      <c r="I30" s="326">
        <v>1208</v>
      </c>
      <c r="J30" s="325"/>
      <c r="K30" s="325"/>
    </row>
    <row r="31" spans="1:11" ht="30.75" thickBot="1" x14ac:dyDescent="0.3">
      <c r="A31" s="291" t="s">
        <v>1504</v>
      </c>
      <c r="B31" s="322" t="s">
        <v>431</v>
      </c>
      <c r="C31" s="292" t="s">
        <v>1490</v>
      </c>
      <c r="D31" s="295"/>
      <c r="E31" s="295"/>
      <c r="F31" s="295">
        <v>528</v>
      </c>
      <c r="G31" s="296">
        <v>1502</v>
      </c>
      <c r="H31" s="323">
        <v>189</v>
      </c>
      <c r="I31" s="341">
        <v>4021</v>
      </c>
      <c r="J31" s="323">
        <v>442</v>
      </c>
      <c r="K31" s="341">
        <v>2045</v>
      </c>
    </row>
    <row r="32" spans="1:11" ht="30.75" thickBot="1" x14ac:dyDescent="0.3">
      <c r="A32" s="291" t="s">
        <v>1504</v>
      </c>
      <c r="B32" s="322" t="s">
        <v>431</v>
      </c>
      <c r="C32" s="292" t="s">
        <v>1509</v>
      </c>
      <c r="D32" s="293"/>
      <c r="E32" s="293"/>
      <c r="F32" s="293">
        <v>4</v>
      </c>
      <c r="G32" s="294">
        <v>12749</v>
      </c>
      <c r="H32" s="325"/>
      <c r="I32" s="325"/>
      <c r="J32" s="325">
        <v>13</v>
      </c>
      <c r="K32" s="326">
        <v>10927</v>
      </c>
    </row>
    <row r="33" spans="1:11" ht="30.75" thickBot="1" x14ac:dyDescent="0.3">
      <c r="A33" s="291" t="s">
        <v>1504</v>
      </c>
      <c r="B33" s="322" t="s">
        <v>431</v>
      </c>
      <c r="C33" s="292" t="s">
        <v>1510</v>
      </c>
      <c r="D33" s="295"/>
      <c r="E33" s="295"/>
      <c r="F33" s="295"/>
      <c r="G33" s="295"/>
      <c r="H33" s="323"/>
      <c r="I33" s="323"/>
      <c r="J33" s="323">
        <v>1</v>
      </c>
      <c r="K33" s="341">
        <v>2084</v>
      </c>
    </row>
    <row r="34" spans="1:11" ht="30.75" thickBot="1" x14ac:dyDescent="0.3">
      <c r="A34" s="291" t="s">
        <v>1504</v>
      </c>
      <c r="B34" s="322" t="s">
        <v>432</v>
      </c>
      <c r="C34" s="292" t="s">
        <v>1511</v>
      </c>
      <c r="D34" s="293"/>
      <c r="E34" s="293"/>
      <c r="F34" s="293">
        <v>1</v>
      </c>
      <c r="G34" s="294">
        <v>4271</v>
      </c>
      <c r="H34" s="325">
        <v>2</v>
      </c>
      <c r="I34" s="325">
        <v>646</v>
      </c>
      <c r="J34" s="325"/>
      <c r="K34" s="325"/>
    </row>
    <row r="35" spans="1:11" ht="30.75" thickBot="1" x14ac:dyDescent="0.3">
      <c r="A35" s="291" t="s">
        <v>1504</v>
      </c>
      <c r="B35" s="322" t="s">
        <v>1238</v>
      </c>
      <c r="C35" s="292" t="s">
        <v>1512</v>
      </c>
      <c r="D35" s="293"/>
      <c r="E35" s="293"/>
      <c r="F35" s="293">
        <v>2</v>
      </c>
      <c r="G35" s="294">
        <v>1591</v>
      </c>
      <c r="H35" s="325">
        <v>1</v>
      </c>
      <c r="I35" s="326">
        <v>1033</v>
      </c>
      <c r="J35" s="325"/>
      <c r="K35" s="325"/>
    </row>
    <row r="36" spans="1:11" ht="30.75" thickBot="1" x14ac:dyDescent="0.3">
      <c r="A36" s="291" t="s">
        <v>1504</v>
      </c>
      <c r="B36" s="322" t="s">
        <v>1239</v>
      </c>
      <c r="C36" s="292" t="s">
        <v>1513</v>
      </c>
      <c r="D36" s="295"/>
      <c r="E36" s="295"/>
      <c r="F36" s="295"/>
      <c r="G36" s="295"/>
      <c r="H36" s="323"/>
      <c r="I36" s="323"/>
      <c r="J36" s="323">
        <v>1</v>
      </c>
      <c r="K36" s="341">
        <v>1006</v>
      </c>
    </row>
    <row r="37" spans="1:11" ht="30.75" thickBot="1" x14ac:dyDescent="0.3">
      <c r="A37" s="291" t="s">
        <v>1504</v>
      </c>
      <c r="B37" s="322" t="s">
        <v>1239</v>
      </c>
      <c r="C37" s="292" t="s">
        <v>1514</v>
      </c>
      <c r="D37" s="293"/>
      <c r="E37" s="293"/>
      <c r="F37" s="293"/>
      <c r="G37" s="293"/>
      <c r="H37" s="325"/>
      <c r="I37" s="325"/>
      <c r="J37" s="325">
        <v>1</v>
      </c>
      <c r="K37" s="325">
        <v>786</v>
      </c>
    </row>
    <row r="38" spans="1:11" ht="30.75" thickBot="1" x14ac:dyDescent="0.3">
      <c r="A38" s="291" t="s">
        <v>1504</v>
      </c>
      <c r="B38" s="322" t="s">
        <v>1240</v>
      </c>
      <c r="C38" s="292" t="s">
        <v>1515</v>
      </c>
      <c r="D38" s="295"/>
      <c r="E38" s="295"/>
      <c r="F38" s="295"/>
      <c r="G38" s="295"/>
      <c r="H38" s="323"/>
      <c r="I38" s="323"/>
      <c r="J38" s="323">
        <v>1</v>
      </c>
      <c r="K38" s="341">
        <v>2473</v>
      </c>
    </row>
    <row r="39" spans="1:11" ht="30.75" thickBot="1" x14ac:dyDescent="0.3">
      <c r="A39" s="291" t="s">
        <v>1504</v>
      </c>
      <c r="B39" s="322" t="s">
        <v>430</v>
      </c>
      <c r="C39" s="292" t="s">
        <v>1516</v>
      </c>
      <c r="D39" s="293"/>
      <c r="E39" s="293"/>
      <c r="F39" s="293"/>
      <c r="G39" s="293"/>
      <c r="H39" s="325"/>
      <c r="I39" s="325"/>
      <c r="J39" s="325">
        <v>1</v>
      </c>
      <c r="K39" s="326">
        <v>1648</v>
      </c>
    </row>
    <row r="40" spans="1:11" ht="30.75" thickBot="1" x14ac:dyDescent="0.3">
      <c r="A40" s="291" t="s">
        <v>1504</v>
      </c>
      <c r="B40" s="322" t="s">
        <v>430</v>
      </c>
      <c r="C40" s="292" t="s">
        <v>1491</v>
      </c>
      <c r="D40" s="295"/>
      <c r="E40" s="295"/>
      <c r="F40" s="295"/>
      <c r="G40" s="295"/>
      <c r="H40" s="323"/>
      <c r="I40" s="323"/>
      <c r="J40" s="323">
        <v>24</v>
      </c>
      <c r="K40" s="341">
        <v>4144</v>
      </c>
    </row>
    <row r="41" spans="1:11" ht="30.75" thickBot="1" x14ac:dyDescent="0.3">
      <c r="A41" s="291" t="s">
        <v>1504</v>
      </c>
      <c r="B41" s="322" t="s">
        <v>430</v>
      </c>
      <c r="C41" s="292" t="s">
        <v>1517</v>
      </c>
      <c r="D41" s="293"/>
      <c r="E41" s="293"/>
      <c r="F41" s="293">
        <v>63</v>
      </c>
      <c r="G41" s="294">
        <v>6555</v>
      </c>
      <c r="H41" s="325">
        <v>42</v>
      </c>
      <c r="I41" s="326">
        <v>1488</v>
      </c>
      <c r="J41" s="325">
        <v>41</v>
      </c>
      <c r="K41" s="326">
        <v>9752</v>
      </c>
    </row>
    <row r="42" spans="1:11" ht="30.75" thickBot="1" x14ac:dyDescent="0.3">
      <c r="A42" s="291" t="s">
        <v>1504</v>
      </c>
      <c r="B42" s="322" t="s">
        <v>430</v>
      </c>
      <c r="C42" s="292" t="s">
        <v>1518</v>
      </c>
      <c r="D42" s="293"/>
      <c r="E42" s="293"/>
      <c r="F42" s="293">
        <v>4</v>
      </c>
      <c r="G42" s="293">
        <v>889</v>
      </c>
      <c r="H42" s="325">
        <v>1</v>
      </c>
      <c r="I42" s="326">
        <v>1134</v>
      </c>
      <c r="J42" s="325">
        <v>2</v>
      </c>
      <c r="K42" s="326">
        <v>1258</v>
      </c>
    </row>
    <row r="43" spans="1:11" ht="30.75" thickBot="1" x14ac:dyDescent="0.3">
      <c r="A43" s="291" t="s">
        <v>1504</v>
      </c>
      <c r="B43" s="322" t="s">
        <v>433</v>
      </c>
      <c r="C43" s="292" t="s">
        <v>1492</v>
      </c>
      <c r="D43" s="295"/>
      <c r="E43" s="295"/>
      <c r="F43" s="295">
        <v>164</v>
      </c>
      <c r="G43" s="296">
        <v>1650</v>
      </c>
      <c r="H43" s="323">
        <v>8</v>
      </c>
      <c r="I43" s="341">
        <v>1643</v>
      </c>
      <c r="J43" s="323">
        <v>12</v>
      </c>
      <c r="K43" s="341">
        <v>1724</v>
      </c>
    </row>
    <row r="44" spans="1:11" ht="30.75" thickBot="1" x14ac:dyDescent="0.3">
      <c r="A44" s="291" t="s">
        <v>1504</v>
      </c>
      <c r="B44" s="322" t="s">
        <v>433</v>
      </c>
      <c r="C44" s="292" t="s">
        <v>1519</v>
      </c>
      <c r="D44" s="293"/>
      <c r="E44" s="293"/>
      <c r="F44" s="293">
        <v>4</v>
      </c>
      <c r="G44" s="294">
        <v>2611</v>
      </c>
      <c r="H44" s="325">
        <v>2</v>
      </c>
      <c r="I44" s="326">
        <v>6046</v>
      </c>
      <c r="J44" s="325">
        <v>5</v>
      </c>
      <c r="K44" s="326">
        <v>5343</v>
      </c>
    </row>
    <row r="45" spans="1:11" ht="30.75" thickBot="1" x14ac:dyDescent="0.3">
      <c r="A45" s="291" t="s">
        <v>1504</v>
      </c>
      <c r="B45" s="322" t="s">
        <v>433</v>
      </c>
      <c r="C45" s="292" t="s">
        <v>1493</v>
      </c>
      <c r="D45" s="293"/>
      <c r="E45" s="293"/>
      <c r="F45" s="293">
        <v>73</v>
      </c>
      <c r="G45" s="294">
        <v>2622</v>
      </c>
      <c r="H45" s="325">
        <v>442</v>
      </c>
      <c r="I45" s="326">
        <v>2982</v>
      </c>
      <c r="J45" s="325">
        <v>349</v>
      </c>
      <c r="K45" s="326">
        <v>3128</v>
      </c>
    </row>
    <row r="46" spans="1:11" ht="30.75" thickBot="1" x14ac:dyDescent="0.3">
      <c r="A46" s="291" t="s">
        <v>1504</v>
      </c>
      <c r="B46" s="322" t="s">
        <v>433</v>
      </c>
      <c r="C46" s="292" t="s">
        <v>1520</v>
      </c>
      <c r="D46" s="295"/>
      <c r="E46" s="295"/>
      <c r="F46" s="295"/>
      <c r="G46" s="295"/>
      <c r="H46" s="323">
        <v>1</v>
      </c>
      <c r="I46" s="341">
        <v>1592</v>
      </c>
      <c r="J46" s="323"/>
      <c r="K46" s="323"/>
    </row>
    <row r="47" spans="1:11" ht="30.75" thickBot="1" x14ac:dyDescent="0.3">
      <c r="A47" s="291" t="s">
        <v>1504</v>
      </c>
      <c r="B47" s="322" t="s">
        <v>433</v>
      </c>
      <c r="C47" s="292" t="s">
        <v>1521</v>
      </c>
      <c r="D47" s="295"/>
      <c r="E47" s="295"/>
      <c r="F47" s="295"/>
      <c r="G47" s="295"/>
      <c r="H47" s="323"/>
      <c r="I47" s="323"/>
      <c r="J47" s="323">
        <v>1</v>
      </c>
      <c r="K47" s="341">
        <v>1890</v>
      </c>
    </row>
    <row r="48" spans="1:11" ht="30.75" thickBot="1" x14ac:dyDescent="0.3">
      <c r="A48" s="291" t="s">
        <v>1504</v>
      </c>
      <c r="B48" s="322" t="s">
        <v>433</v>
      </c>
      <c r="C48" s="292" t="s">
        <v>1522</v>
      </c>
      <c r="D48" s="293"/>
      <c r="E48" s="293"/>
      <c r="F48" s="293"/>
      <c r="G48" s="293"/>
      <c r="H48" s="325"/>
      <c r="I48" s="325"/>
      <c r="J48" s="325">
        <v>1</v>
      </c>
      <c r="K48" s="326">
        <v>1640</v>
      </c>
    </row>
    <row r="49" spans="1:11" ht="30.75" thickBot="1" x14ac:dyDescent="0.3">
      <c r="A49" s="291" t="s">
        <v>1504</v>
      </c>
      <c r="B49" s="322" t="s">
        <v>1247</v>
      </c>
      <c r="C49" s="292" t="s">
        <v>1523</v>
      </c>
      <c r="D49" s="295"/>
      <c r="E49" s="295"/>
      <c r="F49" s="295"/>
      <c r="G49" s="295"/>
      <c r="H49" s="323"/>
      <c r="I49" s="323"/>
      <c r="J49" s="323">
        <v>4</v>
      </c>
      <c r="K49" s="341">
        <v>2408</v>
      </c>
    </row>
    <row r="50" spans="1:11" ht="30.75" thickBot="1" x14ac:dyDescent="0.3">
      <c r="A50" s="291" t="s">
        <v>1504</v>
      </c>
      <c r="B50" s="322" t="s">
        <v>1370</v>
      </c>
      <c r="C50" s="292" t="s">
        <v>1524</v>
      </c>
      <c r="D50" s="295"/>
      <c r="E50" s="295"/>
      <c r="F50" s="295">
        <v>7</v>
      </c>
      <c r="G50" s="296">
        <v>15905</v>
      </c>
      <c r="H50" s="323">
        <v>7</v>
      </c>
      <c r="I50" s="341">
        <v>17289</v>
      </c>
      <c r="J50" s="323"/>
      <c r="K50" s="323"/>
    </row>
    <row r="51" spans="1:11" ht="30.75" thickBot="1" x14ac:dyDescent="0.3">
      <c r="A51" s="291" t="s">
        <v>1504</v>
      </c>
      <c r="B51" s="322" t="s">
        <v>1370</v>
      </c>
      <c r="C51" s="292" t="s">
        <v>1525</v>
      </c>
      <c r="D51" s="293"/>
      <c r="E51" s="293"/>
      <c r="F51" s="293">
        <v>2</v>
      </c>
      <c r="G51" s="294">
        <v>6242</v>
      </c>
      <c r="H51" s="325">
        <v>3</v>
      </c>
      <c r="I51" s="326">
        <v>4849</v>
      </c>
      <c r="J51" s="325"/>
      <c r="K51" s="325"/>
    </row>
    <row r="52" spans="1:11" ht="30.75" thickBot="1" x14ac:dyDescent="0.3">
      <c r="A52" s="291" t="s">
        <v>1504</v>
      </c>
      <c r="B52" s="322" t="s">
        <v>435</v>
      </c>
      <c r="C52" s="292" t="s">
        <v>1526</v>
      </c>
      <c r="D52" s="293"/>
      <c r="E52" s="293"/>
      <c r="F52" s="293">
        <v>39</v>
      </c>
      <c r="G52" s="293">
        <v>420</v>
      </c>
      <c r="H52" s="325">
        <v>1</v>
      </c>
      <c r="I52" s="326">
        <v>1163</v>
      </c>
      <c r="J52" s="325">
        <v>1</v>
      </c>
      <c r="K52" s="326">
        <v>1296</v>
      </c>
    </row>
    <row r="53" spans="1:11" ht="30.75" thickBot="1" x14ac:dyDescent="0.3">
      <c r="A53" s="291" t="s">
        <v>1504</v>
      </c>
      <c r="B53" s="322" t="s">
        <v>435</v>
      </c>
      <c r="C53" s="292" t="s">
        <v>1498</v>
      </c>
      <c r="D53" s="293"/>
      <c r="E53" s="293"/>
      <c r="F53" s="293">
        <v>9</v>
      </c>
      <c r="G53" s="294">
        <v>2831</v>
      </c>
      <c r="H53" s="325">
        <v>99</v>
      </c>
      <c r="I53" s="326">
        <v>7064</v>
      </c>
      <c r="J53" s="325">
        <v>69</v>
      </c>
      <c r="K53" s="326">
        <v>8019</v>
      </c>
    </row>
    <row r="54" spans="1:11" ht="30.75" thickBot="1" x14ac:dyDescent="0.3">
      <c r="A54" s="291" t="s">
        <v>1504</v>
      </c>
      <c r="B54" s="322" t="s">
        <v>437</v>
      </c>
      <c r="C54" s="292" t="s">
        <v>1527</v>
      </c>
      <c r="D54" s="293"/>
      <c r="E54" s="293"/>
      <c r="F54" s="293"/>
      <c r="G54" s="293"/>
      <c r="H54" s="325"/>
      <c r="I54" s="325"/>
      <c r="J54" s="325">
        <v>17</v>
      </c>
      <c r="K54" s="326">
        <v>1897</v>
      </c>
    </row>
    <row r="55" spans="1:11" ht="30.75" thickBot="1" x14ac:dyDescent="0.3">
      <c r="A55" s="291" t="s">
        <v>1504</v>
      </c>
      <c r="B55" s="322" t="s">
        <v>437</v>
      </c>
      <c r="C55" s="292" t="s">
        <v>1528</v>
      </c>
      <c r="D55" s="293"/>
      <c r="E55" s="293"/>
      <c r="F55" s="293">
        <v>1</v>
      </c>
      <c r="G55" s="294">
        <v>1227</v>
      </c>
      <c r="H55" s="325"/>
      <c r="I55" s="325"/>
      <c r="J55" s="325">
        <v>58</v>
      </c>
      <c r="K55" s="326">
        <v>2676</v>
      </c>
    </row>
    <row r="56" spans="1:11" ht="30.75" thickBot="1" x14ac:dyDescent="0.3">
      <c r="A56" s="291" t="s">
        <v>1504</v>
      </c>
      <c r="B56" s="322" t="s">
        <v>436</v>
      </c>
      <c r="C56" s="292" t="s">
        <v>1529</v>
      </c>
      <c r="D56" s="295"/>
      <c r="E56" s="295"/>
      <c r="F56" s="295"/>
      <c r="G56" s="295"/>
      <c r="H56" s="323">
        <v>1</v>
      </c>
      <c r="I56" s="323">
        <v>964</v>
      </c>
      <c r="J56" s="323"/>
      <c r="K56" s="323"/>
    </row>
    <row r="57" spans="1:11" ht="30.75" thickBot="1" x14ac:dyDescent="0.3">
      <c r="A57" s="291" t="s">
        <v>1504</v>
      </c>
      <c r="B57" s="322" t="s">
        <v>436</v>
      </c>
      <c r="C57" s="292" t="s">
        <v>1530</v>
      </c>
      <c r="D57" s="293"/>
      <c r="E57" s="293"/>
      <c r="F57" s="293"/>
      <c r="G57" s="293"/>
      <c r="H57" s="325">
        <v>6</v>
      </c>
      <c r="I57" s="326">
        <v>1054</v>
      </c>
      <c r="J57" s="325">
        <v>1</v>
      </c>
      <c r="K57" s="326">
        <v>1149</v>
      </c>
    </row>
    <row r="58" spans="1:11" ht="30.75" thickBot="1" x14ac:dyDescent="0.3">
      <c r="A58" s="291" t="s">
        <v>1504</v>
      </c>
      <c r="B58" s="322" t="s">
        <v>436</v>
      </c>
      <c r="C58" s="292" t="s">
        <v>1531</v>
      </c>
      <c r="D58" s="295"/>
      <c r="E58" s="295"/>
      <c r="F58" s="295"/>
      <c r="G58" s="295"/>
      <c r="H58" s="323"/>
      <c r="I58" s="323"/>
      <c r="J58" s="323">
        <v>1</v>
      </c>
      <c r="K58" s="341">
        <v>1489</v>
      </c>
    </row>
    <row r="59" spans="1:11" ht="30.75" thickBot="1" x14ac:dyDescent="0.3">
      <c r="A59" s="291" t="s">
        <v>1504</v>
      </c>
      <c r="B59" s="322" t="s">
        <v>1242</v>
      </c>
      <c r="C59" s="292" t="s">
        <v>1532</v>
      </c>
      <c r="D59" s="293"/>
      <c r="E59" s="293"/>
      <c r="F59" s="293"/>
      <c r="G59" s="293"/>
      <c r="H59" s="325">
        <v>48</v>
      </c>
      <c r="I59" s="326">
        <v>1179</v>
      </c>
      <c r="J59" s="325">
        <v>151</v>
      </c>
      <c r="K59" s="326">
        <v>1096</v>
      </c>
    </row>
    <row r="60" spans="1:11" ht="30.75" thickBot="1" x14ac:dyDescent="0.3">
      <c r="A60" s="291" t="s">
        <v>1504</v>
      </c>
      <c r="B60" s="322" t="s">
        <v>176</v>
      </c>
      <c r="C60" s="292" t="s">
        <v>1533</v>
      </c>
      <c r="D60" s="293"/>
      <c r="E60" s="293"/>
      <c r="F60" s="293"/>
      <c r="G60" s="293"/>
      <c r="H60" s="325">
        <v>7</v>
      </c>
      <c r="I60" s="326">
        <v>4397</v>
      </c>
      <c r="J60" s="325">
        <v>1</v>
      </c>
      <c r="K60" s="326">
        <v>3654</v>
      </c>
    </row>
    <row r="61" spans="1:11" ht="30.75" thickBot="1" x14ac:dyDescent="0.3">
      <c r="A61" s="291" t="s">
        <v>1504</v>
      </c>
      <c r="B61" s="322" t="s">
        <v>176</v>
      </c>
      <c r="C61" s="292" t="s">
        <v>1534</v>
      </c>
      <c r="D61" s="295"/>
      <c r="E61" s="295"/>
      <c r="F61" s="295"/>
      <c r="G61" s="295"/>
      <c r="H61" s="323">
        <v>1</v>
      </c>
      <c r="I61" s="341">
        <v>12820</v>
      </c>
      <c r="J61" s="323"/>
      <c r="K61" s="323"/>
    </row>
    <row r="62" spans="1:11" ht="30.75" thickBot="1" x14ac:dyDescent="0.3">
      <c r="A62" s="291" t="s">
        <v>1504</v>
      </c>
      <c r="B62" s="322" t="s">
        <v>176</v>
      </c>
      <c r="C62" s="292" t="s">
        <v>1535</v>
      </c>
      <c r="D62" s="293"/>
      <c r="E62" s="293"/>
      <c r="F62" s="293"/>
      <c r="G62" s="293"/>
      <c r="H62" s="325"/>
      <c r="I62" s="325"/>
      <c r="J62" s="325">
        <v>2</v>
      </c>
      <c r="K62" s="326">
        <v>20457</v>
      </c>
    </row>
    <row r="63" spans="1:11" ht="30.75" thickBot="1" x14ac:dyDescent="0.3">
      <c r="A63" s="291" t="s">
        <v>1504</v>
      </c>
      <c r="B63" s="322" t="s">
        <v>176</v>
      </c>
      <c r="C63" s="292" t="s">
        <v>1536</v>
      </c>
      <c r="D63" s="295"/>
      <c r="E63" s="295"/>
      <c r="F63" s="295"/>
      <c r="G63" s="295"/>
      <c r="H63" s="323"/>
      <c r="I63" s="323"/>
      <c r="J63" s="323">
        <v>2</v>
      </c>
      <c r="K63" s="341">
        <v>6157</v>
      </c>
    </row>
    <row r="64" spans="1:11" ht="30.75" thickBot="1" x14ac:dyDescent="0.3">
      <c r="A64" s="291" t="s">
        <v>1504</v>
      </c>
      <c r="B64" s="322" t="s">
        <v>176</v>
      </c>
      <c r="C64" s="292" t="s">
        <v>1537</v>
      </c>
      <c r="D64" s="293"/>
      <c r="E64" s="293"/>
      <c r="F64" s="293"/>
      <c r="G64" s="293"/>
      <c r="H64" s="325">
        <v>7</v>
      </c>
      <c r="I64" s="326">
        <v>19077</v>
      </c>
      <c r="J64" s="325">
        <v>7</v>
      </c>
      <c r="K64" s="326">
        <v>13437</v>
      </c>
    </row>
    <row r="65" spans="1:11" ht="30.75" thickBot="1" x14ac:dyDescent="0.3">
      <c r="A65" s="291" t="s">
        <v>1504</v>
      </c>
      <c r="B65" s="322" t="s">
        <v>176</v>
      </c>
      <c r="C65" s="292" t="s">
        <v>1499</v>
      </c>
      <c r="D65" s="295"/>
      <c r="E65" s="295"/>
      <c r="F65" s="295"/>
      <c r="G65" s="295"/>
      <c r="H65" s="323">
        <v>504</v>
      </c>
      <c r="I65" s="341">
        <v>5149</v>
      </c>
      <c r="J65" s="323">
        <v>572</v>
      </c>
      <c r="K65" s="341">
        <v>4023</v>
      </c>
    </row>
    <row r="66" spans="1:11" ht="30.75" thickBot="1" x14ac:dyDescent="0.3">
      <c r="A66" s="291" t="s">
        <v>1504</v>
      </c>
      <c r="B66" s="322" t="s">
        <v>176</v>
      </c>
      <c r="C66" s="292" t="s">
        <v>1538</v>
      </c>
      <c r="D66" s="293"/>
      <c r="E66" s="293"/>
      <c r="F66" s="293"/>
      <c r="G66" s="293"/>
      <c r="H66" s="325"/>
      <c r="I66" s="325"/>
      <c r="J66" s="325">
        <v>3</v>
      </c>
      <c r="K66" s="326">
        <v>10446</v>
      </c>
    </row>
    <row r="67" spans="1:11" ht="30.75" thickBot="1" x14ac:dyDescent="0.3">
      <c r="A67" s="291" t="s">
        <v>1504</v>
      </c>
      <c r="B67" s="322" t="s">
        <v>1243</v>
      </c>
      <c r="C67" s="292" t="s">
        <v>1539</v>
      </c>
      <c r="D67" s="295"/>
      <c r="E67" s="295"/>
      <c r="F67" s="295"/>
      <c r="G67" s="295"/>
      <c r="H67" s="323"/>
      <c r="I67" s="323"/>
      <c r="J67" s="323">
        <v>1</v>
      </c>
      <c r="K67" s="323">
        <v>468</v>
      </c>
    </row>
    <row r="68" spans="1:11" ht="30.75" thickBot="1" x14ac:dyDescent="0.3">
      <c r="A68" s="291" t="s">
        <v>1504</v>
      </c>
      <c r="B68" s="322" t="s">
        <v>1243</v>
      </c>
      <c r="C68" s="292" t="s">
        <v>1540</v>
      </c>
      <c r="D68" s="293"/>
      <c r="E68" s="293"/>
      <c r="F68" s="293"/>
      <c r="G68" s="293"/>
      <c r="H68" s="325">
        <v>14</v>
      </c>
      <c r="I68" s="325">
        <v>731</v>
      </c>
      <c r="J68" s="325">
        <v>104</v>
      </c>
      <c r="K68" s="326">
        <v>2176</v>
      </c>
    </row>
    <row r="69" spans="1:11" ht="30.75" thickBot="1" x14ac:dyDescent="0.3">
      <c r="A69" s="291" t="s">
        <v>1504</v>
      </c>
      <c r="B69" s="322" t="s">
        <v>1243</v>
      </c>
      <c r="C69" s="292" t="s">
        <v>1541</v>
      </c>
      <c r="D69" s="295"/>
      <c r="E69" s="295"/>
      <c r="F69" s="295"/>
      <c r="G69" s="295"/>
      <c r="H69" s="323"/>
      <c r="I69" s="323"/>
      <c r="J69" s="323">
        <v>2</v>
      </c>
      <c r="K69" s="341">
        <v>1398</v>
      </c>
    </row>
    <row r="70" spans="1:11" ht="30.75" thickBot="1" x14ac:dyDescent="0.3">
      <c r="A70" s="291" t="s">
        <v>1504</v>
      </c>
      <c r="B70" s="322" t="s">
        <v>1243</v>
      </c>
      <c r="C70" s="292" t="s">
        <v>1542</v>
      </c>
      <c r="D70" s="293"/>
      <c r="E70" s="293"/>
      <c r="F70" s="293"/>
      <c r="G70" s="293"/>
      <c r="H70" s="325"/>
      <c r="I70" s="325"/>
      <c r="J70" s="325">
        <v>1</v>
      </c>
      <c r="K70" s="326">
        <v>1969</v>
      </c>
    </row>
    <row r="71" spans="1:11" ht="30.75" thickBot="1" x14ac:dyDescent="0.3">
      <c r="A71" s="291" t="s">
        <v>1504</v>
      </c>
      <c r="B71" s="322" t="s">
        <v>1243</v>
      </c>
      <c r="C71" s="292" t="s">
        <v>1543</v>
      </c>
      <c r="D71" s="295"/>
      <c r="E71" s="295"/>
      <c r="F71" s="295"/>
      <c r="G71" s="295"/>
      <c r="H71" s="323">
        <v>1</v>
      </c>
      <c r="I71" s="323">
        <v>453</v>
      </c>
      <c r="J71" s="323">
        <v>8</v>
      </c>
      <c r="K71" s="341">
        <v>1144</v>
      </c>
    </row>
    <row r="72" spans="1:11" ht="30.75" thickBot="1" x14ac:dyDescent="0.3">
      <c r="A72" s="291" t="s">
        <v>1504</v>
      </c>
      <c r="B72" s="322" t="s">
        <v>442</v>
      </c>
      <c r="C72" s="292" t="s">
        <v>1544</v>
      </c>
      <c r="D72" s="295"/>
      <c r="E72" s="295"/>
      <c r="F72" s="295">
        <v>3</v>
      </c>
      <c r="G72" s="295">
        <v>690</v>
      </c>
      <c r="H72" s="323">
        <v>32</v>
      </c>
      <c r="I72" s="323">
        <v>687</v>
      </c>
      <c r="J72" s="323"/>
      <c r="K72" s="323"/>
    </row>
    <row r="73" spans="1:11" ht="30.75" thickBot="1" x14ac:dyDescent="0.3">
      <c r="A73" s="291" t="s">
        <v>1504</v>
      </c>
      <c r="B73" s="322" t="s">
        <v>1246</v>
      </c>
      <c r="C73" s="292" t="s">
        <v>1545</v>
      </c>
      <c r="D73" s="293"/>
      <c r="E73" s="293"/>
      <c r="F73" s="293"/>
      <c r="G73" s="293"/>
      <c r="H73" s="325">
        <v>1</v>
      </c>
      <c r="I73" s="326">
        <v>2115</v>
      </c>
      <c r="J73" s="325">
        <v>1</v>
      </c>
      <c r="K73" s="326">
        <v>2115</v>
      </c>
    </row>
    <row r="74" spans="1:11" ht="30.75" thickBot="1" x14ac:dyDescent="0.3">
      <c r="A74" s="291" t="s">
        <v>1504</v>
      </c>
      <c r="B74" s="322" t="s">
        <v>1246</v>
      </c>
      <c r="C74" s="292" t="s">
        <v>1546</v>
      </c>
      <c r="D74" s="295"/>
      <c r="E74" s="295"/>
      <c r="F74" s="295"/>
      <c r="G74" s="295"/>
      <c r="H74" s="323">
        <v>1</v>
      </c>
      <c r="I74" s="341">
        <v>2115</v>
      </c>
      <c r="J74" s="323"/>
      <c r="K74" s="323"/>
    </row>
    <row r="75" spans="1:11" ht="30.75" thickBot="1" x14ac:dyDescent="0.3">
      <c r="A75" s="291" t="s">
        <v>1504</v>
      </c>
      <c r="B75" s="322" t="s">
        <v>1246</v>
      </c>
      <c r="C75" s="292" t="s">
        <v>1547</v>
      </c>
      <c r="D75" s="293"/>
      <c r="E75" s="293"/>
      <c r="F75" s="293"/>
      <c r="G75" s="293"/>
      <c r="H75" s="325">
        <v>2</v>
      </c>
      <c r="I75" s="326">
        <v>2115</v>
      </c>
      <c r="J75" s="325">
        <v>1</v>
      </c>
      <c r="K75" s="326">
        <v>2115</v>
      </c>
    </row>
    <row r="76" spans="1:11" ht="30.75" thickBot="1" x14ac:dyDescent="0.3">
      <c r="A76" s="297" t="s">
        <v>1504</v>
      </c>
      <c r="B76" s="342" t="s">
        <v>1246</v>
      </c>
      <c r="C76" s="295" t="s">
        <v>1502</v>
      </c>
      <c r="D76" s="295"/>
      <c r="E76" s="295"/>
      <c r="F76" s="295">
        <v>530</v>
      </c>
      <c r="G76" s="296">
        <v>4807</v>
      </c>
      <c r="H76" s="341">
        <v>3266</v>
      </c>
      <c r="I76" s="323">
        <v>814</v>
      </c>
      <c r="J76" s="341">
        <v>0</v>
      </c>
      <c r="K76" s="323">
        <v>0</v>
      </c>
    </row>
    <row r="78" spans="1:11" ht="15.75" thickBot="1" x14ac:dyDescent="0.3"/>
    <row r="79" spans="1:11" ht="15.75" thickBot="1" x14ac:dyDescent="0.3">
      <c r="A79" s="287" t="s">
        <v>421</v>
      </c>
      <c r="B79" s="287" t="s">
        <v>422</v>
      </c>
      <c r="C79" s="288" t="s">
        <v>1377</v>
      </c>
      <c r="D79" s="469" t="s">
        <v>423</v>
      </c>
      <c r="E79" s="470"/>
      <c r="F79" s="470"/>
      <c r="G79" s="471"/>
      <c r="H79" s="472" t="s">
        <v>424</v>
      </c>
      <c r="I79" s="470"/>
      <c r="J79" s="470"/>
      <c r="K79" s="473"/>
    </row>
    <row r="80" spans="1:11" ht="15.75" thickBot="1" x14ac:dyDescent="0.3">
      <c r="A80" s="287"/>
      <c r="B80" s="287"/>
      <c r="C80" s="288"/>
      <c r="D80" s="469" t="s">
        <v>425</v>
      </c>
      <c r="E80" s="471"/>
      <c r="F80" s="472" t="s">
        <v>426</v>
      </c>
      <c r="G80" s="470"/>
      <c r="H80" s="470"/>
      <c r="I80" s="471"/>
      <c r="J80" s="472" t="s">
        <v>427</v>
      </c>
      <c r="K80" s="473"/>
    </row>
    <row r="81" spans="1:11" ht="15.75" thickBot="1" x14ac:dyDescent="0.3">
      <c r="A81" s="289"/>
      <c r="B81" s="289"/>
      <c r="C81" s="290"/>
      <c r="D81" s="289" t="s">
        <v>428</v>
      </c>
      <c r="E81" s="289" t="s">
        <v>429</v>
      </c>
      <c r="F81" s="289" t="s">
        <v>428</v>
      </c>
      <c r="G81" s="289" t="s">
        <v>429</v>
      </c>
      <c r="H81" s="289" t="s">
        <v>428</v>
      </c>
      <c r="I81" s="289" t="s">
        <v>429</v>
      </c>
      <c r="J81" s="289" t="s">
        <v>428</v>
      </c>
      <c r="K81" s="290" t="s">
        <v>429</v>
      </c>
    </row>
    <row r="82" spans="1:11" ht="30.75" thickBot="1" x14ac:dyDescent="0.3">
      <c r="A82" s="291" t="s">
        <v>1548</v>
      </c>
      <c r="B82" s="322" t="s">
        <v>431</v>
      </c>
      <c r="C82" s="292" t="s">
        <v>1549</v>
      </c>
      <c r="D82" s="293"/>
      <c r="E82" s="293"/>
      <c r="F82" s="293"/>
      <c r="G82" s="293"/>
      <c r="H82" s="293"/>
      <c r="I82" s="293"/>
      <c r="J82" s="293">
        <v>51</v>
      </c>
      <c r="K82" s="294">
        <v>3035</v>
      </c>
    </row>
    <row r="83" spans="1:11" ht="15.75" thickBot="1" x14ac:dyDescent="0.3">
      <c r="A83" s="291" t="s">
        <v>1548</v>
      </c>
      <c r="B83" s="322" t="s">
        <v>432</v>
      </c>
      <c r="C83" s="292" t="s">
        <v>1550</v>
      </c>
      <c r="D83" s="295"/>
      <c r="E83" s="295"/>
      <c r="F83" s="295">
        <v>27</v>
      </c>
      <c r="G83" s="296">
        <v>3371</v>
      </c>
      <c r="H83" s="295"/>
      <c r="I83" s="295"/>
      <c r="J83" s="295"/>
      <c r="K83" s="295"/>
    </row>
    <row r="84" spans="1:11" ht="15.75" thickBot="1" x14ac:dyDescent="0.3">
      <c r="A84" s="291" t="s">
        <v>1548</v>
      </c>
      <c r="B84" s="322" t="s">
        <v>432</v>
      </c>
      <c r="C84" s="292" t="s">
        <v>1551</v>
      </c>
      <c r="D84" s="293"/>
      <c r="E84" s="293"/>
      <c r="F84" s="293"/>
      <c r="G84" s="293"/>
      <c r="H84" s="293">
        <v>16</v>
      </c>
      <c r="I84" s="294">
        <v>2996</v>
      </c>
      <c r="J84" s="293">
        <v>1</v>
      </c>
      <c r="K84" s="294">
        <v>1962</v>
      </c>
    </row>
    <row r="85" spans="1:11" ht="15.75" thickBot="1" x14ac:dyDescent="0.3">
      <c r="A85" s="291" t="s">
        <v>1548</v>
      </c>
      <c r="B85" s="322" t="s">
        <v>430</v>
      </c>
      <c r="C85" s="292" t="s">
        <v>1517</v>
      </c>
      <c r="D85" s="295"/>
      <c r="E85" s="295"/>
      <c r="F85" s="295">
        <v>1</v>
      </c>
      <c r="G85" s="296">
        <v>7070</v>
      </c>
      <c r="H85" s="295"/>
      <c r="I85" s="295"/>
      <c r="J85" s="295">
        <v>2</v>
      </c>
      <c r="K85" s="296">
        <v>6059</v>
      </c>
    </row>
    <row r="86" spans="1:11" ht="30.75" thickBot="1" x14ac:dyDescent="0.3">
      <c r="A86" s="291" t="s">
        <v>1548</v>
      </c>
      <c r="B86" s="322" t="s">
        <v>433</v>
      </c>
      <c r="C86" s="292" t="s">
        <v>1493</v>
      </c>
      <c r="D86" s="295"/>
      <c r="E86" s="295"/>
      <c r="F86" s="295"/>
      <c r="G86" s="295"/>
      <c r="H86" s="295">
        <v>8</v>
      </c>
      <c r="I86" s="296">
        <v>1669</v>
      </c>
      <c r="J86" s="295">
        <v>14</v>
      </c>
      <c r="K86" s="296">
        <v>1983</v>
      </c>
    </row>
    <row r="87" spans="1:11" ht="30.75" thickBot="1" x14ac:dyDescent="0.3">
      <c r="A87" s="291" t="s">
        <v>1548</v>
      </c>
      <c r="B87" s="322" t="s">
        <v>435</v>
      </c>
      <c r="C87" s="292" t="s">
        <v>1552</v>
      </c>
      <c r="D87" s="293"/>
      <c r="E87" s="293"/>
      <c r="F87" s="293"/>
      <c r="G87" s="293"/>
      <c r="H87" s="293"/>
      <c r="I87" s="293"/>
      <c r="J87" s="293">
        <v>1</v>
      </c>
      <c r="K87" s="294">
        <v>1166</v>
      </c>
    </row>
    <row r="88" spans="1:11" ht="30.75" thickBot="1" x14ac:dyDescent="0.3">
      <c r="A88" s="291" t="s">
        <v>1548</v>
      </c>
      <c r="B88" s="322" t="s">
        <v>435</v>
      </c>
      <c r="C88" s="292" t="s">
        <v>1498</v>
      </c>
      <c r="D88" s="295"/>
      <c r="E88" s="295"/>
      <c r="F88" s="295">
        <v>1</v>
      </c>
      <c r="G88" s="296">
        <v>3372</v>
      </c>
      <c r="H88" s="295"/>
      <c r="I88" s="295"/>
      <c r="J88" s="295">
        <v>2</v>
      </c>
      <c r="K88" s="295">
        <v>950</v>
      </c>
    </row>
    <row r="89" spans="1:11" ht="30.75" thickBot="1" x14ac:dyDescent="0.3">
      <c r="A89" s="291" t="s">
        <v>1548</v>
      </c>
      <c r="B89" s="322" t="s">
        <v>436</v>
      </c>
      <c r="C89" s="292" t="s">
        <v>1530</v>
      </c>
      <c r="D89" s="293"/>
      <c r="E89" s="293"/>
      <c r="F89" s="293"/>
      <c r="G89" s="293"/>
      <c r="H89" s="293">
        <v>1</v>
      </c>
      <c r="I89" s="294">
        <v>1054</v>
      </c>
      <c r="J89" s="293"/>
      <c r="K89" s="293"/>
    </row>
    <row r="90" spans="1:11" ht="15.75" thickBot="1" x14ac:dyDescent="0.3">
      <c r="A90" s="291" t="s">
        <v>1548</v>
      </c>
      <c r="B90" s="322" t="s">
        <v>1242</v>
      </c>
      <c r="C90" s="292" t="s">
        <v>1532</v>
      </c>
      <c r="D90" s="295"/>
      <c r="E90" s="295"/>
      <c r="F90" s="295"/>
      <c r="G90" s="295"/>
      <c r="H90" s="295">
        <v>5</v>
      </c>
      <c r="I90" s="296">
        <v>1164</v>
      </c>
      <c r="J90" s="295">
        <v>1</v>
      </c>
      <c r="K90" s="296">
        <v>1055</v>
      </c>
    </row>
    <row r="91" spans="1:11" ht="30.75" thickBot="1" x14ac:dyDescent="0.3">
      <c r="A91" s="291" t="s">
        <v>1548</v>
      </c>
      <c r="B91" s="322" t="s">
        <v>176</v>
      </c>
      <c r="C91" s="292" t="s">
        <v>1499</v>
      </c>
      <c r="D91" s="293"/>
      <c r="E91" s="293"/>
      <c r="F91" s="293"/>
      <c r="G91" s="293"/>
      <c r="H91" s="293">
        <v>3</v>
      </c>
      <c r="I91" s="294">
        <v>4104</v>
      </c>
      <c r="J91" s="293">
        <v>4</v>
      </c>
      <c r="K91" s="294">
        <v>3555</v>
      </c>
    </row>
    <row r="92" spans="1:11" ht="15.75" thickBot="1" x14ac:dyDescent="0.3">
      <c r="A92" s="297" t="s">
        <v>1548</v>
      </c>
      <c r="B92" s="342" t="s">
        <v>1246</v>
      </c>
      <c r="C92" s="295" t="s">
        <v>1502</v>
      </c>
      <c r="D92" s="295"/>
      <c r="E92" s="295"/>
      <c r="F92" s="295"/>
      <c r="G92" s="295"/>
      <c r="H92" s="295">
        <v>1</v>
      </c>
      <c r="I92" s="296">
        <v>1650</v>
      </c>
      <c r="J92" s="295">
        <v>1</v>
      </c>
      <c r="K92" s="296">
        <v>1188</v>
      </c>
    </row>
  </sheetData>
  <mergeCells count="15">
    <mergeCell ref="D80:E80"/>
    <mergeCell ref="F80:I80"/>
    <mergeCell ref="J80:K80"/>
    <mergeCell ref="D3:G3"/>
    <mergeCell ref="H3:K3"/>
    <mergeCell ref="D4:E4"/>
    <mergeCell ref="F4:I4"/>
    <mergeCell ref="J4:K4"/>
    <mergeCell ref="D24:G24"/>
    <mergeCell ref="H24:K24"/>
    <mergeCell ref="D25:E25"/>
    <mergeCell ref="F25:I25"/>
    <mergeCell ref="J25:K25"/>
    <mergeCell ref="D79:G79"/>
    <mergeCell ref="H79:K7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heetViews>
  <sheetFormatPr defaultRowHeight="15" x14ac:dyDescent="0.25"/>
  <cols>
    <col min="1" max="1" width="6.85546875" bestFit="1" customWidth="1"/>
    <col min="2" max="2" width="6.7109375" style="368" bestFit="1" customWidth="1"/>
    <col min="3" max="3" width="31.7109375" bestFit="1" customWidth="1"/>
    <col min="4" max="4" width="12.140625" bestFit="1" customWidth="1"/>
    <col min="5" max="5" width="9.5703125" bestFit="1" customWidth="1"/>
    <col min="6" max="6" width="10.85546875" bestFit="1" customWidth="1"/>
    <col min="7" max="7" width="11" bestFit="1" customWidth="1"/>
    <col min="8" max="8" width="11.5703125" bestFit="1" customWidth="1"/>
    <col min="9" max="9" width="9" bestFit="1" customWidth="1"/>
    <col min="10" max="10" width="5.7109375" bestFit="1" customWidth="1"/>
  </cols>
  <sheetData>
    <row r="1" spans="1:13" x14ac:dyDescent="0.25">
      <c r="A1" t="s">
        <v>1588</v>
      </c>
    </row>
    <row r="2" spans="1:13" ht="18.75" x14ac:dyDescent="0.3">
      <c r="A2" s="367" t="s">
        <v>1556</v>
      </c>
      <c r="M2" s="10" t="s">
        <v>1557</v>
      </c>
    </row>
    <row r="3" spans="1:13" ht="15.75" thickBot="1" x14ac:dyDescent="0.3">
      <c r="M3" s="10" t="s">
        <v>1558</v>
      </c>
    </row>
    <row r="4" spans="1:13" x14ac:dyDescent="0.25">
      <c r="A4" s="369" t="s">
        <v>1559</v>
      </c>
      <c r="B4" s="370" t="s">
        <v>1560</v>
      </c>
      <c r="C4" s="371" t="s">
        <v>1561</v>
      </c>
      <c r="D4" s="371" t="s">
        <v>1562</v>
      </c>
      <c r="E4" s="371" t="s">
        <v>1563</v>
      </c>
      <c r="F4" s="371" t="s">
        <v>1564</v>
      </c>
      <c r="G4" s="371" t="s">
        <v>1565</v>
      </c>
      <c r="H4" s="371" t="s">
        <v>1566</v>
      </c>
      <c r="I4" s="371" t="s">
        <v>1177</v>
      </c>
      <c r="J4" s="372" t="s">
        <v>329</v>
      </c>
      <c r="M4" s="10" t="s">
        <v>1567</v>
      </c>
    </row>
    <row r="5" spans="1:13" x14ac:dyDescent="0.25">
      <c r="A5" s="373">
        <v>1301</v>
      </c>
      <c r="B5" s="374">
        <v>221</v>
      </c>
      <c r="C5" s="375" t="s">
        <v>1568</v>
      </c>
      <c r="D5" s="375">
        <v>20</v>
      </c>
      <c r="E5" s="376">
        <v>219148</v>
      </c>
      <c r="F5" s="375">
        <v>0</v>
      </c>
      <c r="G5" s="377">
        <v>23235.16</v>
      </c>
      <c r="H5" s="377">
        <v>62716.91</v>
      </c>
      <c r="I5" s="375">
        <v>2012</v>
      </c>
      <c r="J5" s="378">
        <v>49</v>
      </c>
    </row>
    <row r="6" spans="1:13" x14ac:dyDescent="0.25">
      <c r="A6" s="379">
        <v>1301</v>
      </c>
      <c r="B6" s="380">
        <v>221</v>
      </c>
      <c r="C6" s="381" t="s">
        <v>1568</v>
      </c>
      <c r="D6" s="381">
        <v>20</v>
      </c>
      <c r="E6" s="382">
        <v>219148</v>
      </c>
      <c r="F6" s="381">
        <v>5</v>
      </c>
      <c r="G6" s="383">
        <v>2778.64</v>
      </c>
      <c r="H6" s="383">
        <v>4978.7299999999996</v>
      </c>
      <c r="I6" s="381">
        <v>2012</v>
      </c>
      <c r="J6" s="384">
        <v>1</v>
      </c>
    </row>
    <row r="7" spans="1:13" x14ac:dyDescent="0.25">
      <c r="A7" s="373">
        <v>1301</v>
      </c>
      <c r="B7" s="374">
        <v>221</v>
      </c>
      <c r="C7" s="375" t="s">
        <v>1568</v>
      </c>
      <c r="D7" s="375">
        <v>20</v>
      </c>
      <c r="E7" s="376">
        <v>219148</v>
      </c>
      <c r="F7" s="375">
        <v>0</v>
      </c>
      <c r="G7" s="377">
        <v>21833.55</v>
      </c>
      <c r="H7" s="377">
        <v>64620.480000000003</v>
      </c>
      <c r="I7" s="375">
        <v>2013</v>
      </c>
      <c r="J7" s="378">
        <v>61</v>
      </c>
    </row>
    <row r="8" spans="1:13" x14ac:dyDescent="0.25">
      <c r="A8" s="373">
        <v>1301</v>
      </c>
      <c r="B8" s="374" t="s">
        <v>1209</v>
      </c>
      <c r="C8" s="375" t="s">
        <v>1569</v>
      </c>
      <c r="D8" s="375">
        <v>80</v>
      </c>
      <c r="E8" s="376">
        <v>219148</v>
      </c>
      <c r="F8" s="375">
        <v>0</v>
      </c>
      <c r="G8" s="377">
        <v>40623.31</v>
      </c>
      <c r="H8" s="377">
        <v>62504.29</v>
      </c>
      <c r="I8" s="375">
        <v>2013</v>
      </c>
      <c r="J8" s="378">
        <v>7</v>
      </c>
    </row>
    <row r="9" spans="1:13" x14ac:dyDescent="0.25">
      <c r="A9" s="379">
        <v>1330</v>
      </c>
      <c r="B9" s="380">
        <v>601</v>
      </c>
      <c r="C9" s="381" t="s">
        <v>1570</v>
      </c>
      <c r="D9" s="381">
        <v>80</v>
      </c>
      <c r="E9" s="382">
        <v>219148</v>
      </c>
      <c r="F9" s="381">
        <v>2</v>
      </c>
      <c r="G9" s="383">
        <v>4794.1899999999996</v>
      </c>
      <c r="H9" s="383">
        <v>6488.43</v>
      </c>
      <c r="I9" s="381">
        <v>2012</v>
      </c>
      <c r="J9" s="384">
        <v>7</v>
      </c>
    </row>
    <row r="10" spans="1:13" x14ac:dyDescent="0.25">
      <c r="A10" s="379">
        <v>1330</v>
      </c>
      <c r="B10" s="380">
        <v>601</v>
      </c>
      <c r="C10" s="381" t="s">
        <v>1570</v>
      </c>
      <c r="D10" s="381">
        <v>80</v>
      </c>
      <c r="E10" s="382">
        <v>219148</v>
      </c>
      <c r="F10" s="381">
        <v>2</v>
      </c>
      <c r="G10" s="383">
        <v>11664.37</v>
      </c>
      <c r="H10" s="383">
        <v>14488.64</v>
      </c>
      <c r="I10" s="381">
        <v>2013</v>
      </c>
      <c r="J10" s="384">
        <v>6</v>
      </c>
    </row>
    <row r="11" spans="1:13" x14ac:dyDescent="0.25">
      <c r="A11" s="379">
        <v>1330</v>
      </c>
      <c r="B11" s="380">
        <v>608</v>
      </c>
      <c r="C11" s="381" t="s">
        <v>1571</v>
      </c>
      <c r="D11" s="381">
        <v>80</v>
      </c>
      <c r="E11" s="382">
        <v>219148</v>
      </c>
      <c r="F11" s="381">
        <v>0</v>
      </c>
      <c r="G11" s="383">
        <v>11392.82</v>
      </c>
      <c r="H11" s="383">
        <v>12856.09</v>
      </c>
      <c r="I11" s="381">
        <v>2013</v>
      </c>
      <c r="J11" s="384">
        <v>2</v>
      </c>
    </row>
    <row r="12" spans="1:13" x14ac:dyDescent="0.25">
      <c r="A12" s="379">
        <v>1502</v>
      </c>
      <c r="B12" s="380">
        <v>130</v>
      </c>
      <c r="C12" s="381" t="s">
        <v>1572</v>
      </c>
      <c r="D12" s="381">
        <v>20</v>
      </c>
      <c r="E12" s="382">
        <v>219148</v>
      </c>
      <c r="F12" s="381">
        <v>0</v>
      </c>
      <c r="G12" s="383">
        <v>5838.55</v>
      </c>
      <c r="H12" s="383">
        <v>23892.22</v>
      </c>
      <c r="I12" s="381">
        <v>2012</v>
      </c>
      <c r="J12" s="384">
        <v>158</v>
      </c>
    </row>
    <row r="13" spans="1:13" x14ac:dyDescent="0.25">
      <c r="A13" s="379">
        <v>1502</v>
      </c>
      <c r="B13" s="380">
        <v>130</v>
      </c>
      <c r="C13" s="381" t="s">
        <v>1572</v>
      </c>
      <c r="D13" s="381">
        <v>20</v>
      </c>
      <c r="E13" s="382">
        <v>219148</v>
      </c>
      <c r="F13" s="381">
        <v>0</v>
      </c>
      <c r="G13" s="383">
        <v>5244.78</v>
      </c>
      <c r="H13" s="383">
        <v>23416.55</v>
      </c>
      <c r="I13" s="381">
        <v>2013</v>
      </c>
      <c r="J13" s="384">
        <v>158</v>
      </c>
    </row>
    <row r="14" spans="1:13" x14ac:dyDescent="0.25">
      <c r="A14" s="379">
        <v>1516</v>
      </c>
      <c r="B14" s="380">
        <v>380</v>
      </c>
      <c r="C14" s="381" t="s">
        <v>1573</v>
      </c>
      <c r="D14" s="381">
        <v>20</v>
      </c>
      <c r="E14" s="382">
        <v>219148</v>
      </c>
      <c r="F14" s="381">
        <v>0</v>
      </c>
      <c r="G14" s="383">
        <v>4956.74</v>
      </c>
      <c r="H14" s="383">
        <v>6041.65</v>
      </c>
      <c r="I14" s="381">
        <v>2013</v>
      </c>
      <c r="J14" s="384">
        <v>1</v>
      </c>
    </row>
    <row r="15" spans="1:13" x14ac:dyDescent="0.25">
      <c r="A15" s="379">
        <v>3800</v>
      </c>
      <c r="B15" s="380" t="s">
        <v>1574</v>
      </c>
      <c r="C15" s="381" t="s">
        <v>1575</v>
      </c>
      <c r="D15" s="381">
        <v>80</v>
      </c>
      <c r="E15" s="382">
        <v>219148</v>
      </c>
      <c r="F15" s="381">
        <v>2</v>
      </c>
      <c r="G15" s="383">
        <v>21148.82</v>
      </c>
      <c r="H15" s="383">
        <v>30739.32</v>
      </c>
      <c r="I15" s="381">
        <v>2012</v>
      </c>
      <c r="J15" s="384">
        <v>1</v>
      </c>
    </row>
    <row r="16" spans="1:13" x14ac:dyDescent="0.25">
      <c r="A16" s="379">
        <v>3800</v>
      </c>
      <c r="B16" s="380" t="s">
        <v>1576</v>
      </c>
      <c r="C16" s="381" t="s">
        <v>1577</v>
      </c>
      <c r="D16" s="381">
        <v>80</v>
      </c>
      <c r="E16" s="382">
        <v>219148</v>
      </c>
      <c r="F16" s="381">
        <v>0</v>
      </c>
      <c r="G16" s="383">
        <v>5486.26</v>
      </c>
      <c r="H16" s="383">
        <v>8001.72</v>
      </c>
      <c r="I16" s="381">
        <v>2013</v>
      </c>
      <c r="J16" s="384">
        <v>2</v>
      </c>
    </row>
    <row r="17" spans="1:10" x14ac:dyDescent="0.25">
      <c r="A17" s="379">
        <v>4202</v>
      </c>
      <c r="B17" s="380">
        <v>160</v>
      </c>
      <c r="C17" s="381" t="s">
        <v>1578</v>
      </c>
      <c r="D17" s="381">
        <v>20</v>
      </c>
      <c r="E17" s="382">
        <v>219148</v>
      </c>
      <c r="F17" s="381">
        <v>0</v>
      </c>
      <c r="G17" s="383">
        <v>27562.05</v>
      </c>
      <c r="H17" s="383">
        <v>39388.720000000001</v>
      </c>
      <c r="I17" s="381">
        <v>2012</v>
      </c>
      <c r="J17" s="384">
        <v>82</v>
      </c>
    </row>
    <row r="18" spans="1:10" x14ac:dyDescent="0.25">
      <c r="A18" s="379">
        <v>4202</v>
      </c>
      <c r="B18" s="380">
        <v>160</v>
      </c>
      <c r="C18" s="381" t="s">
        <v>1578</v>
      </c>
      <c r="D18" s="381">
        <v>20</v>
      </c>
      <c r="E18" s="382">
        <v>219148</v>
      </c>
      <c r="F18" s="381">
        <v>0</v>
      </c>
      <c r="G18" s="383">
        <v>18246.87</v>
      </c>
      <c r="H18" s="383">
        <v>24124.9</v>
      </c>
      <c r="I18" s="381">
        <v>2013</v>
      </c>
      <c r="J18" s="384">
        <v>92</v>
      </c>
    </row>
    <row r="19" spans="1:10" x14ac:dyDescent="0.25">
      <c r="A19" s="379">
        <v>4202</v>
      </c>
      <c r="B19" s="380">
        <v>250</v>
      </c>
      <c r="C19" s="381" t="s">
        <v>1579</v>
      </c>
      <c r="D19" s="381">
        <v>80</v>
      </c>
      <c r="E19" s="382">
        <v>219148</v>
      </c>
      <c r="F19" s="381">
        <v>0</v>
      </c>
      <c r="G19" s="383">
        <v>33454.129999999997</v>
      </c>
      <c r="H19" s="383">
        <v>44197.62</v>
      </c>
      <c r="I19" s="381">
        <v>2013</v>
      </c>
      <c r="J19" s="384">
        <v>5</v>
      </c>
    </row>
    <row r="20" spans="1:10" x14ac:dyDescent="0.25">
      <c r="A20" s="379">
        <v>6008</v>
      </c>
      <c r="B20" s="380">
        <v>260</v>
      </c>
      <c r="C20" s="381" t="s">
        <v>1580</v>
      </c>
      <c r="D20" s="381">
        <v>4</v>
      </c>
      <c r="E20" s="382">
        <v>219148</v>
      </c>
      <c r="F20" s="381">
        <v>0</v>
      </c>
      <c r="G20" s="383">
        <v>26618.61</v>
      </c>
      <c r="H20" s="383">
        <v>76113.850000000006</v>
      </c>
      <c r="I20" s="381">
        <v>2013</v>
      </c>
      <c r="J20" s="384">
        <v>1</v>
      </c>
    </row>
    <row r="21" spans="1:10" x14ac:dyDescent="0.25">
      <c r="A21" s="379">
        <v>6620</v>
      </c>
      <c r="B21" s="380">
        <v>141</v>
      </c>
      <c r="C21" s="381" t="s">
        <v>1581</v>
      </c>
      <c r="D21" s="381">
        <v>4</v>
      </c>
      <c r="E21" s="382">
        <v>219148</v>
      </c>
      <c r="F21" s="381">
        <v>0</v>
      </c>
      <c r="G21" s="383">
        <v>160499.19</v>
      </c>
      <c r="H21" s="383">
        <v>237632.04</v>
      </c>
      <c r="I21" s="381">
        <v>2013</v>
      </c>
      <c r="J21" s="384">
        <v>2</v>
      </c>
    </row>
    <row r="22" spans="1:10" x14ac:dyDescent="0.25">
      <c r="A22" s="379">
        <v>6620</v>
      </c>
      <c r="B22" s="380">
        <v>151</v>
      </c>
      <c r="C22" s="381" t="s">
        <v>1582</v>
      </c>
      <c r="D22" s="381">
        <v>20</v>
      </c>
      <c r="E22" s="382">
        <v>219148</v>
      </c>
      <c r="F22" s="381">
        <v>2</v>
      </c>
      <c r="G22" s="383">
        <v>14047.81</v>
      </c>
      <c r="H22" s="383">
        <v>23212.83</v>
      </c>
      <c r="I22" s="381">
        <v>2012</v>
      </c>
      <c r="J22" s="384">
        <v>237</v>
      </c>
    </row>
    <row r="23" spans="1:10" x14ac:dyDescent="0.25">
      <c r="A23" s="379">
        <v>6620</v>
      </c>
      <c r="B23" s="380">
        <v>151</v>
      </c>
      <c r="C23" s="381" t="s">
        <v>1582</v>
      </c>
      <c r="D23" s="381">
        <v>20</v>
      </c>
      <c r="E23" s="382">
        <v>219148</v>
      </c>
      <c r="F23" s="381">
        <v>2</v>
      </c>
      <c r="G23" s="383">
        <v>18722.91</v>
      </c>
      <c r="H23" s="383">
        <v>38826.82</v>
      </c>
      <c r="I23" s="381">
        <v>2013</v>
      </c>
      <c r="J23" s="384">
        <v>142</v>
      </c>
    </row>
    <row r="24" spans="1:10" x14ac:dyDescent="0.25">
      <c r="A24" s="379">
        <v>6650</v>
      </c>
      <c r="B24" s="380">
        <v>331</v>
      </c>
      <c r="C24" s="381" t="s">
        <v>1583</v>
      </c>
      <c r="D24" s="381">
        <v>1</v>
      </c>
      <c r="E24" s="382">
        <v>219148</v>
      </c>
      <c r="F24" s="381">
        <v>0</v>
      </c>
      <c r="G24" s="383">
        <v>23494.41</v>
      </c>
      <c r="H24" s="383">
        <v>32076.16</v>
      </c>
      <c r="I24" s="381">
        <v>2013</v>
      </c>
      <c r="J24" s="384">
        <v>1</v>
      </c>
    </row>
    <row r="25" spans="1:10" x14ac:dyDescent="0.25">
      <c r="A25" s="379">
        <v>6650</v>
      </c>
      <c r="B25" s="380">
        <v>351</v>
      </c>
      <c r="C25" s="381" t="s">
        <v>1584</v>
      </c>
      <c r="D25" s="381">
        <v>20</v>
      </c>
      <c r="E25" s="382">
        <v>219148</v>
      </c>
      <c r="F25" s="381">
        <v>0</v>
      </c>
      <c r="G25" s="383">
        <v>104736.62</v>
      </c>
      <c r="H25" s="383">
        <v>135157.79999999999</v>
      </c>
      <c r="I25" s="381">
        <v>2013</v>
      </c>
      <c r="J25" s="384">
        <v>1</v>
      </c>
    </row>
    <row r="26" spans="1:10" x14ac:dyDescent="0.25">
      <c r="A26" s="379">
        <v>7026</v>
      </c>
      <c r="B26" s="380">
        <v>241</v>
      </c>
      <c r="C26" s="381" t="s">
        <v>1585</v>
      </c>
      <c r="D26" s="381">
        <v>80</v>
      </c>
      <c r="E26" s="382">
        <v>41254</v>
      </c>
      <c r="F26" s="381">
        <v>2</v>
      </c>
      <c r="G26" s="383">
        <v>12819.22</v>
      </c>
      <c r="H26" s="383">
        <v>18572.259999999998</v>
      </c>
      <c r="I26" s="381">
        <v>2012</v>
      </c>
      <c r="J26" s="384">
        <v>3</v>
      </c>
    </row>
    <row r="27" spans="1:10" x14ac:dyDescent="0.25">
      <c r="A27" s="379">
        <v>7601</v>
      </c>
      <c r="B27" s="380">
        <v>41</v>
      </c>
      <c r="C27" s="381" t="s">
        <v>1586</v>
      </c>
      <c r="D27" s="381">
        <v>1</v>
      </c>
      <c r="E27" s="382">
        <v>41629</v>
      </c>
      <c r="F27" s="381">
        <v>0</v>
      </c>
      <c r="G27" s="383">
        <v>128154.1</v>
      </c>
      <c r="H27" s="383">
        <v>177047.76</v>
      </c>
      <c r="I27" s="381">
        <v>2013</v>
      </c>
      <c r="J27" s="384">
        <v>1</v>
      </c>
    </row>
    <row r="28" spans="1:10" x14ac:dyDescent="0.25">
      <c r="A28" s="379">
        <v>8001</v>
      </c>
      <c r="B28" s="380">
        <v>191</v>
      </c>
      <c r="C28" s="381" t="s">
        <v>1587</v>
      </c>
      <c r="D28" s="381">
        <v>20</v>
      </c>
      <c r="E28" s="382">
        <v>219148</v>
      </c>
      <c r="F28" s="381">
        <v>2</v>
      </c>
      <c r="G28" s="383">
        <v>15649.92</v>
      </c>
      <c r="H28" s="383">
        <v>21270.51</v>
      </c>
      <c r="I28" s="381">
        <v>2012</v>
      </c>
      <c r="J28" s="384">
        <v>49</v>
      </c>
    </row>
    <row r="29" spans="1:10" ht="15.75" thickBot="1" x14ac:dyDescent="0.3">
      <c r="A29" s="385">
        <v>8001</v>
      </c>
      <c r="B29" s="386">
        <v>191</v>
      </c>
      <c r="C29" s="387" t="s">
        <v>1587</v>
      </c>
      <c r="D29" s="387">
        <v>20</v>
      </c>
      <c r="E29" s="388">
        <v>219148</v>
      </c>
      <c r="F29" s="387">
        <v>2</v>
      </c>
      <c r="G29" s="389">
        <v>34743.14</v>
      </c>
      <c r="H29" s="389">
        <v>51931.32</v>
      </c>
      <c r="I29" s="387">
        <v>2013</v>
      </c>
      <c r="J29" s="390">
        <v>77</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workbookViewId="0"/>
  </sheetViews>
  <sheetFormatPr defaultRowHeight="15" x14ac:dyDescent="0.25"/>
  <cols>
    <col min="1" max="1" width="6.85546875" bestFit="1" customWidth="1"/>
    <col min="2" max="2" width="6.7109375" bestFit="1" customWidth="1"/>
    <col min="3" max="3" width="51.85546875" bestFit="1" customWidth="1"/>
    <col min="4" max="4" width="12.140625" bestFit="1" customWidth="1"/>
    <col min="5" max="5" width="11" bestFit="1" customWidth="1"/>
    <col min="6" max="6" width="10.85546875" bestFit="1" customWidth="1"/>
    <col min="7" max="7" width="10" bestFit="1" customWidth="1"/>
    <col min="8" max="8" width="11.5703125" bestFit="1" customWidth="1"/>
    <col min="9" max="9" width="9" bestFit="1" customWidth="1"/>
    <col min="10" max="10" width="5.7109375" bestFit="1" customWidth="1"/>
  </cols>
  <sheetData>
    <row r="1" spans="1:10" x14ac:dyDescent="0.25">
      <c r="A1" t="s">
        <v>1588</v>
      </c>
    </row>
    <row r="2" spans="1:10" ht="18.75" x14ac:dyDescent="0.3">
      <c r="A2" s="367" t="s">
        <v>1591</v>
      </c>
    </row>
    <row r="3" spans="1:10" ht="15.75" thickBot="1" x14ac:dyDescent="0.3"/>
    <row r="4" spans="1:10" x14ac:dyDescent="0.25">
      <c r="A4" s="369" t="s">
        <v>1559</v>
      </c>
      <c r="B4" s="371" t="s">
        <v>1560</v>
      </c>
      <c r="C4" s="371" t="s">
        <v>1561</v>
      </c>
      <c r="D4" s="371" t="s">
        <v>1562</v>
      </c>
      <c r="E4" s="371" t="s">
        <v>1563</v>
      </c>
      <c r="F4" s="371" t="s">
        <v>1564</v>
      </c>
      <c r="G4" s="371" t="s">
        <v>1565</v>
      </c>
      <c r="H4" s="371" t="s">
        <v>1566</v>
      </c>
      <c r="I4" s="371" t="s">
        <v>1177</v>
      </c>
      <c r="J4" s="372" t="s">
        <v>329</v>
      </c>
    </row>
    <row r="5" spans="1:10" x14ac:dyDescent="0.25">
      <c r="A5" s="379">
        <v>3800</v>
      </c>
      <c r="B5" s="381" t="s">
        <v>1592</v>
      </c>
      <c r="C5" s="381" t="s">
        <v>1593</v>
      </c>
      <c r="D5" s="381">
        <v>42</v>
      </c>
      <c r="E5" s="382">
        <v>219148</v>
      </c>
      <c r="F5" s="381">
        <v>6</v>
      </c>
      <c r="G5" s="383">
        <v>3334.41</v>
      </c>
      <c r="H5" s="383">
        <v>5376.89</v>
      </c>
      <c r="I5" s="381">
        <v>2013</v>
      </c>
      <c r="J5" s="384">
        <v>467</v>
      </c>
    </row>
    <row r="6" spans="1:10" x14ac:dyDescent="0.25">
      <c r="A6" s="379">
        <v>3800</v>
      </c>
      <c r="B6" s="381" t="s">
        <v>1592</v>
      </c>
      <c r="C6" s="381" t="s">
        <v>1593</v>
      </c>
      <c r="D6" s="381">
        <v>42</v>
      </c>
      <c r="E6" s="382">
        <v>219148</v>
      </c>
      <c r="F6" s="381">
        <v>6</v>
      </c>
      <c r="G6" s="383">
        <v>4446.1000000000004</v>
      </c>
      <c r="H6" s="383">
        <v>6369.79</v>
      </c>
      <c r="I6" s="381">
        <v>2012</v>
      </c>
      <c r="J6" s="384">
        <v>463</v>
      </c>
    </row>
    <row r="7" spans="1:10" x14ac:dyDescent="0.25">
      <c r="A7" s="379">
        <v>4202</v>
      </c>
      <c r="B7" s="381">
        <v>180</v>
      </c>
      <c r="C7" s="381" t="s">
        <v>1594</v>
      </c>
      <c r="D7" s="381">
        <v>42</v>
      </c>
      <c r="E7" s="382">
        <v>219148</v>
      </c>
      <c r="F7" s="381">
        <v>6</v>
      </c>
      <c r="G7" s="383">
        <v>4068.23</v>
      </c>
      <c r="H7" s="383">
        <v>5434.26</v>
      </c>
      <c r="I7" s="381">
        <v>2013</v>
      </c>
      <c r="J7" s="384">
        <v>68</v>
      </c>
    </row>
    <row r="8" spans="1:10" x14ac:dyDescent="0.25">
      <c r="A8" s="379">
        <v>3800</v>
      </c>
      <c r="B8" s="381" t="s">
        <v>1595</v>
      </c>
      <c r="C8" s="381" t="s">
        <v>1596</v>
      </c>
      <c r="D8" s="381">
        <v>42</v>
      </c>
      <c r="E8" s="382">
        <v>219148</v>
      </c>
      <c r="F8" s="381">
        <v>6</v>
      </c>
      <c r="G8" s="383">
        <v>5188.3999999999996</v>
      </c>
      <c r="H8" s="383">
        <v>7200.8</v>
      </c>
      <c r="I8" s="381">
        <v>2012</v>
      </c>
      <c r="J8" s="384">
        <v>59</v>
      </c>
    </row>
    <row r="9" spans="1:10" x14ac:dyDescent="0.25">
      <c r="A9" s="379">
        <v>3800</v>
      </c>
      <c r="B9" s="381" t="s">
        <v>1595</v>
      </c>
      <c r="C9" s="381" t="s">
        <v>1596</v>
      </c>
      <c r="D9" s="381">
        <v>42</v>
      </c>
      <c r="E9" s="382">
        <v>219148</v>
      </c>
      <c r="F9" s="381">
        <v>6</v>
      </c>
      <c r="G9" s="383">
        <v>8259.7099999999991</v>
      </c>
      <c r="H9" s="383">
        <v>11993</v>
      </c>
      <c r="I9" s="381">
        <v>2013</v>
      </c>
      <c r="J9" s="384">
        <v>53</v>
      </c>
    </row>
    <row r="10" spans="1:10" x14ac:dyDescent="0.25">
      <c r="A10" s="379">
        <v>4202</v>
      </c>
      <c r="B10" s="381">
        <v>180</v>
      </c>
      <c r="C10" s="381" t="s">
        <v>1594</v>
      </c>
      <c r="D10" s="381">
        <v>42</v>
      </c>
      <c r="E10" s="382">
        <v>219148</v>
      </c>
      <c r="F10" s="381">
        <v>6</v>
      </c>
      <c r="G10" s="383">
        <v>5053.12</v>
      </c>
      <c r="H10" s="383">
        <v>7126.94</v>
      </c>
      <c r="I10" s="381">
        <v>2012</v>
      </c>
      <c r="J10" s="384">
        <v>50</v>
      </c>
    </row>
    <row r="11" spans="1:10" x14ac:dyDescent="0.25">
      <c r="A11" s="379">
        <v>1309</v>
      </c>
      <c r="B11" s="381">
        <v>100</v>
      </c>
      <c r="C11" s="381" t="s">
        <v>1597</v>
      </c>
      <c r="D11" s="381">
        <v>42</v>
      </c>
      <c r="E11" s="382">
        <v>219148</v>
      </c>
      <c r="F11" s="381">
        <v>6</v>
      </c>
      <c r="G11" s="383">
        <v>9502.84</v>
      </c>
      <c r="H11" s="383">
        <v>12051.34</v>
      </c>
      <c r="I11" s="381">
        <v>2013</v>
      </c>
      <c r="J11" s="384">
        <v>48</v>
      </c>
    </row>
    <row r="12" spans="1:10" x14ac:dyDescent="0.25">
      <c r="A12" s="379">
        <v>7002</v>
      </c>
      <c r="B12" s="381">
        <v>61</v>
      </c>
      <c r="C12" s="381" t="s">
        <v>1598</v>
      </c>
      <c r="D12" s="381">
        <v>42</v>
      </c>
      <c r="E12" s="382">
        <v>41471</v>
      </c>
      <c r="F12" s="381">
        <v>6</v>
      </c>
      <c r="G12" s="383">
        <v>943.46</v>
      </c>
      <c r="H12" s="383">
        <v>1949.06</v>
      </c>
      <c r="I12" s="381">
        <v>2012</v>
      </c>
      <c r="J12" s="384">
        <v>46</v>
      </c>
    </row>
    <row r="13" spans="1:10" x14ac:dyDescent="0.25">
      <c r="A13" s="379">
        <v>1501</v>
      </c>
      <c r="B13" s="381">
        <v>405</v>
      </c>
      <c r="C13" s="381" t="s">
        <v>1599</v>
      </c>
      <c r="D13" s="381">
        <v>42</v>
      </c>
      <c r="E13" s="382">
        <v>219148</v>
      </c>
      <c r="F13" s="381">
        <v>6</v>
      </c>
      <c r="G13" s="383">
        <v>14027.55</v>
      </c>
      <c r="H13" s="383">
        <v>21022.57</v>
      </c>
      <c r="I13" s="381">
        <v>2012</v>
      </c>
      <c r="J13" s="384">
        <v>45</v>
      </c>
    </row>
    <row r="14" spans="1:10" x14ac:dyDescent="0.25">
      <c r="A14" s="379">
        <v>6008</v>
      </c>
      <c r="B14" s="381">
        <v>200</v>
      </c>
      <c r="C14" s="381" t="s">
        <v>1600</v>
      </c>
      <c r="D14" s="381">
        <v>42</v>
      </c>
      <c r="E14" s="382">
        <v>219148</v>
      </c>
      <c r="F14" s="381">
        <v>6</v>
      </c>
      <c r="G14" s="383">
        <v>3252.27</v>
      </c>
      <c r="H14" s="383">
        <v>11329.62</v>
      </c>
      <c r="I14" s="381">
        <v>2013</v>
      </c>
      <c r="J14" s="384">
        <v>44</v>
      </c>
    </row>
    <row r="15" spans="1:10" x14ac:dyDescent="0.25">
      <c r="A15" s="379">
        <v>6630</v>
      </c>
      <c r="B15" s="381">
        <v>321</v>
      </c>
      <c r="C15" s="381" t="s">
        <v>1601</v>
      </c>
      <c r="D15" s="381">
        <v>42</v>
      </c>
      <c r="E15" s="382">
        <v>219148</v>
      </c>
      <c r="F15" s="381">
        <v>6</v>
      </c>
      <c r="G15" s="383">
        <v>9877.89</v>
      </c>
      <c r="H15" s="383">
        <v>13558.95</v>
      </c>
      <c r="I15" s="381">
        <v>2013</v>
      </c>
      <c r="J15" s="384">
        <v>41</v>
      </c>
    </row>
    <row r="16" spans="1:10" x14ac:dyDescent="0.25">
      <c r="A16" s="379">
        <v>1309</v>
      </c>
      <c r="B16" s="381">
        <v>100</v>
      </c>
      <c r="C16" s="381" t="s">
        <v>1597</v>
      </c>
      <c r="D16" s="381">
        <v>42</v>
      </c>
      <c r="E16" s="382">
        <v>219148</v>
      </c>
      <c r="F16" s="381">
        <v>6</v>
      </c>
      <c r="G16" s="383">
        <v>14869.63</v>
      </c>
      <c r="H16" s="383">
        <v>19709.09</v>
      </c>
      <c r="I16" s="381">
        <v>2012</v>
      </c>
      <c r="J16" s="384">
        <v>36</v>
      </c>
    </row>
    <row r="17" spans="1:10" x14ac:dyDescent="0.25">
      <c r="A17" s="379">
        <v>1401</v>
      </c>
      <c r="B17" s="381">
        <v>140</v>
      </c>
      <c r="C17" s="381" t="s">
        <v>1602</v>
      </c>
      <c r="D17" s="381">
        <v>42</v>
      </c>
      <c r="E17" s="382">
        <v>219148</v>
      </c>
      <c r="F17" s="381">
        <v>6</v>
      </c>
      <c r="G17" s="383">
        <v>4270.18</v>
      </c>
      <c r="H17" s="383">
        <v>5526.15</v>
      </c>
      <c r="I17" s="381">
        <v>2013</v>
      </c>
      <c r="J17" s="384">
        <v>36</v>
      </c>
    </row>
    <row r="18" spans="1:10" x14ac:dyDescent="0.25">
      <c r="A18" s="379">
        <v>3800</v>
      </c>
      <c r="B18" s="381" t="s">
        <v>1603</v>
      </c>
      <c r="C18" s="381" t="s">
        <v>1604</v>
      </c>
      <c r="D18" s="381">
        <v>42</v>
      </c>
      <c r="E18" s="382">
        <v>219148</v>
      </c>
      <c r="F18" s="381">
        <v>6</v>
      </c>
      <c r="G18" s="383">
        <v>5027.8900000000003</v>
      </c>
      <c r="H18" s="383">
        <v>7538.52</v>
      </c>
      <c r="I18" s="381">
        <v>2012</v>
      </c>
      <c r="J18" s="384">
        <v>36</v>
      </c>
    </row>
    <row r="19" spans="1:10" x14ac:dyDescent="0.25">
      <c r="A19" s="379">
        <v>6008</v>
      </c>
      <c r="B19" s="381">
        <v>200</v>
      </c>
      <c r="C19" s="381" t="s">
        <v>1600</v>
      </c>
      <c r="D19" s="381">
        <v>42</v>
      </c>
      <c r="E19" s="382">
        <v>219148</v>
      </c>
      <c r="F19" s="381">
        <v>6</v>
      </c>
      <c r="G19" s="383">
        <v>7018.77</v>
      </c>
      <c r="H19" s="383">
        <v>13178.37</v>
      </c>
      <c r="I19" s="381">
        <v>2012</v>
      </c>
      <c r="J19" s="384">
        <v>33</v>
      </c>
    </row>
    <row r="20" spans="1:10" x14ac:dyDescent="0.25">
      <c r="A20" s="379">
        <v>1330</v>
      </c>
      <c r="B20" s="381">
        <v>170</v>
      </c>
      <c r="C20" s="381" t="s">
        <v>1605</v>
      </c>
      <c r="D20" s="381">
        <v>42</v>
      </c>
      <c r="E20" s="382">
        <v>219148</v>
      </c>
      <c r="F20" s="381">
        <v>6</v>
      </c>
      <c r="G20" s="383">
        <v>6960.17</v>
      </c>
      <c r="H20" s="383">
        <v>9827.33</v>
      </c>
      <c r="I20" s="381">
        <v>2012</v>
      </c>
      <c r="J20" s="384">
        <v>32</v>
      </c>
    </row>
    <row r="21" spans="1:10" x14ac:dyDescent="0.25">
      <c r="A21" s="379">
        <v>1401</v>
      </c>
      <c r="B21" s="381">
        <v>140</v>
      </c>
      <c r="C21" s="381" t="s">
        <v>1602</v>
      </c>
      <c r="D21" s="381">
        <v>42</v>
      </c>
      <c r="E21" s="382">
        <v>219148</v>
      </c>
      <c r="F21" s="381">
        <v>6</v>
      </c>
      <c r="G21" s="383">
        <v>10094.549999999999</v>
      </c>
      <c r="H21" s="383">
        <v>14812.79</v>
      </c>
      <c r="I21" s="381">
        <v>2012</v>
      </c>
      <c r="J21" s="384">
        <v>32</v>
      </c>
    </row>
    <row r="22" spans="1:10" x14ac:dyDescent="0.25">
      <c r="A22" s="379">
        <v>5501</v>
      </c>
      <c r="B22" s="381">
        <v>80</v>
      </c>
      <c r="C22" s="381" t="s">
        <v>1606</v>
      </c>
      <c r="D22" s="381">
        <v>42</v>
      </c>
      <c r="E22" s="382">
        <v>219148</v>
      </c>
      <c r="F22" s="381">
        <v>6</v>
      </c>
      <c r="G22" s="383">
        <v>8111.56</v>
      </c>
      <c r="H22" s="383">
        <v>11178.76</v>
      </c>
      <c r="I22" s="381">
        <v>2013</v>
      </c>
      <c r="J22" s="384">
        <v>32</v>
      </c>
    </row>
    <row r="23" spans="1:10" x14ac:dyDescent="0.25">
      <c r="A23" s="379">
        <v>6006</v>
      </c>
      <c r="B23" s="381">
        <v>52</v>
      </c>
      <c r="C23" s="381" t="s">
        <v>1607</v>
      </c>
      <c r="D23" s="381">
        <v>42</v>
      </c>
      <c r="E23" s="382">
        <v>219148</v>
      </c>
      <c r="F23" s="381">
        <v>6</v>
      </c>
      <c r="G23" s="383">
        <v>10452.85</v>
      </c>
      <c r="H23" s="383">
        <v>14650.75</v>
      </c>
      <c r="I23" s="381">
        <v>2013</v>
      </c>
      <c r="J23" s="384">
        <v>32</v>
      </c>
    </row>
    <row r="24" spans="1:10" x14ac:dyDescent="0.25">
      <c r="A24" s="379">
        <v>5501</v>
      </c>
      <c r="B24" s="381">
        <v>80</v>
      </c>
      <c r="C24" s="381" t="s">
        <v>1606</v>
      </c>
      <c r="D24" s="381">
        <v>42</v>
      </c>
      <c r="E24" s="382">
        <v>219148</v>
      </c>
      <c r="F24" s="381">
        <v>6</v>
      </c>
      <c r="G24" s="383">
        <v>8892.52</v>
      </c>
      <c r="H24" s="383">
        <v>11748.69</v>
      </c>
      <c r="I24" s="381">
        <v>2012</v>
      </c>
      <c r="J24" s="384">
        <v>31</v>
      </c>
    </row>
    <row r="25" spans="1:10" x14ac:dyDescent="0.25">
      <c r="A25" s="379">
        <v>1501</v>
      </c>
      <c r="B25" s="381">
        <v>405</v>
      </c>
      <c r="C25" s="381" t="s">
        <v>1599</v>
      </c>
      <c r="D25" s="381">
        <v>42</v>
      </c>
      <c r="E25" s="382">
        <v>219148</v>
      </c>
      <c r="F25" s="381">
        <v>6</v>
      </c>
      <c r="G25" s="383">
        <v>8193.94</v>
      </c>
      <c r="H25" s="383">
        <v>15355.56</v>
      </c>
      <c r="I25" s="381">
        <v>2013</v>
      </c>
      <c r="J25" s="384">
        <v>30</v>
      </c>
    </row>
    <row r="26" spans="1:10" x14ac:dyDescent="0.25">
      <c r="A26" s="379">
        <v>1330</v>
      </c>
      <c r="B26" s="381">
        <v>170</v>
      </c>
      <c r="C26" s="381" t="s">
        <v>1605</v>
      </c>
      <c r="D26" s="381">
        <v>42</v>
      </c>
      <c r="E26" s="382">
        <v>219148</v>
      </c>
      <c r="F26" s="381">
        <v>6</v>
      </c>
      <c r="G26" s="383">
        <v>9094.7900000000009</v>
      </c>
      <c r="H26" s="383">
        <v>11481.1</v>
      </c>
      <c r="I26" s="381">
        <v>2013</v>
      </c>
      <c r="J26" s="384">
        <v>28</v>
      </c>
    </row>
    <row r="27" spans="1:10" x14ac:dyDescent="0.25">
      <c r="A27" s="379">
        <v>4001</v>
      </c>
      <c r="B27" s="381">
        <v>40</v>
      </c>
      <c r="C27" s="381" t="s">
        <v>1608</v>
      </c>
      <c r="D27" s="381">
        <v>30</v>
      </c>
      <c r="E27" s="382">
        <v>219148</v>
      </c>
      <c r="F27" s="381">
        <v>6</v>
      </c>
      <c r="G27" s="383">
        <v>8338.1299999999992</v>
      </c>
      <c r="H27" s="383">
        <v>11720.31</v>
      </c>
      <c r="I27" s="381">
        <v>2013</v>
      </c>
      <c r="J27" s="384">
        <v>26</v>
      </c>
    </row>
    <row r="28" spans="1:10" x14ac:dyDescent="0.25">
      <c r="A28" s="379">
        <v>8001</v>
      </c>
      <c r="B28" s="381">
        <v>535</v>
      </c>
      <c r="C28" s="381" t="s">
        <v>1609</v>
      </c>
      <c r="D28" s="381">
        <v>42</v>
      </c>
      <c r="E28" s="382">
        <v>219148</v>
      </c>
      <c r="F28" s="381">
        <v>6</v>
      </c>
      <c r="G28" s="383">
        <v>9797.1299999999992</v>
      </c>
      <c r="H28" s="383">
        <v>15461.63</v>
      </c>
      <c r="I28" s="381">
        <v>2012</v>
      </c>
      <c r="J28" s="384">
        <v>26</v>
      </c>
    </row>
    <row r="29" spans="1:10" x14ac:dyDescent="0.25">
      <c r="A29" s="379">
        <v>5501</v>
      </c>
      <c r="B29" s="381">
        <v>480</v>
      </c>
      <c r="C29" s="381" t="s">
        <v>1610</v>
      </c>
      <c r="D29" s="381">
        <v>42</v>
      </c>
      <c r="E29" s="382">
        <v>219148</v>
      </c>
      <c r="F29" s="381">
        <v>6</v>
      </c>
      <c r="G29" s="383">
        <v>5007.67</v>
      </c>
      <c r="H29" s="383">
        <v>6348.52</v>
      </c>
      <c r="I29" s="381">
        <v>2012</v>
      </c>
      <c r="J29" s="384">
        <v>25</v>
      </c>
    </row>
    <row r="30" spans="1:10" x14ac:dyDescent="0.25">
      <c r="A30" s="379">
        <v>2000</v>
      </c>
      <c r="B30" s="381">
        <v>321</v>
      </c>
      <c r="C30" s="381" t="s">
        <v>1611</v>
      </c>
      <c r="D30" s="381">
        <v>42</v>
      </c>
      <c r="E30" s="382">
        <v>219148</v>
      </c>
      <c r="F30" s="381">
        <v>6</v>
      </c>
      <c r="G30" s="383">
        <v>8232.89</v>
      </c>
      <c r="H30" s="383">
        <v>11675.89</v>
      </c>
      <c r="I30" s="381">
        <v>2013</v>
      </c>
      <c r="J30" s="384">
        <v>23</v>
      </c>
    </row>
    <row r="31" spans="1:10" x14ac:dyDescent="0.25">
      <c r="A31" s="379">
        <v>6620</v>
      </c>
      <c r="B31" s="381" t="s">
        <v>1612</v>
      </c>
      <c r="C31" s="381" t="s">
        <v>1613</v>
      </c>
      <c r="D31" s="381">
        <v>42</v>
      </c>
      <c r="E31" s="382">
        <v>219148</v>
      </c>
      <c r="F31" s="381">
        <v>6</v>
      </c>
      <c r="G31" s="383">
        <v>5301.46</v>
      </c>
      <c r="H31" s="383">
        <v>6900.83</v>
      </c>
      <c r="I31" s="381">
        <v>2013</v>
      </c>
      <c r="J31" s="384">
        <v>22</v>
      </c>
    </row>
    <row r="32" spans="1:10" x14ac:dyDescent="0.25">
      <c r="A32" s="379">
        <v>1516</v>
      </c>
      <c r="B32" s="381">
        <v>170</v>
      </c>
      <c r="C32" s="381" t="s">
        <v>1614</v>
      </c>
      <c r="D32" s="381">
        <v>42</v>
      </c>
      <c r="E32" s="382">
        <v>219148</v>
      </c>
      <c r="F32" s="381">
        <v>6</v>
      </c>
      <c r="G32" s="383">
        <v>8819.6200000000008</v>
      </c>
      <c r="H32" s="383">
        <v>13259.87</v>
      </c>
      <c r="I32" s="381">
        <v>2013</v>
      </c>
      <c r="J32" s="384">
        <v>21</v>
      </c>
    </row>
    <row r="33" spans="1:10" x14ac:dyDescent="0.25">
      <c r="A33" s="379">
        <v>2000</v>
      </c>
      <c r="B33" s="381">
        <v>321</v>
      </c>
      <c r="C33" s="381" t="s">
        <v>1611</v>
      </c>
      <c r="D33" s="381">
        <v>42</v>
      </c>
      <c r="E33" s="382">
        <v>219148</v>
      </c>
      <c r="F33" s="381">
        <v>6</v>
      </c>
      <c r="G33" s="383">
        <v>9922.89</v>
      </c>
      <c r="H33" s="383">
        <v>13345.78</v>
      </c>
      <c r="I33" s="381">
        <v>2012</v>
      </c>
      <c r="J33" s="384">
        <v>21</v>
      </c>
    </row>
    <row r="34" spans="1:10" x14ac:dyDescent="0.25">
      <c r="A34" s="379">
        <v>3800</v>
      </c>
      <c r="B34" s="381" t="s">
        <v>1603</v>
      </c>
      <c r="C34" s="381" t="s">
        <v>1604</v>
      </c>
      <c r="D34" s="381">
        <v>42</v>
      </c>
      <c r="E34" s="382">
        <v>219148</v>
      </c>
      <c r="F34" s="381">
        <v>6</v>
      </c>
      <c r="G34" s="383">
        <v>8507.8799999999992</v>
      </c>
      <c r="H34" s="383">
        <v>14523.73</v>
      </c>
      <c r="I34" s="381">
        <v>2013</v>
      </c>
      <c r="J34" s="384">
        <v>21</v>
      </c>
    </row>
    <row r="35" spans="1:10" x14ac:dyDescent="0.25">
      <c r="A35" s="379">
        <v>5001</v>
      </c>
      <c r="B35" s="381">
        <v>100</v>
      </c>
      <c r="C35" s="381" t="s">
        <v>1615</v>
      </c>
      <c r="D35" s="381">
        <v>42</v>
      </c>
      <c r="E35" s="382">
        <v>219148</v>
      </c>
      <c r="F35" s="381">
        <v>6</v>
      </c>
      <c r="G35" s="383">
        <v>3237.01</v>
      </c>
      <c r="H35" s="383">
        <v>5587.1</v>
      </c>
      <c r="I35" s="381">
        <v>2012</v>
      </c>
      <c r="J35" s="384">
        <v>21</v>
      </c>
    </row>
    <row r="36" spans="1:10" x14ac:dyDescent="0.25">
      <c r="A36" s="379">
        <v>8001</v>
      </c>
      <c r="B36" s="381">
        <v>535</v>
      </c>
      <c r="C36" s="381" t="s">
        <v>1609</v>
      </c>
      <c r="D36" s="381">
        <v>42</v>
      </c>
      <c r="E36" s="382">
        <v>219148</v>
      </c>
      <c r="F36" s="381">
        <v>6</v>
      </c>
      <c r="G36" s="383">
        <v>7778.59</v>
      </c>
      <c r="H36" s="383">
        <v>21371.9</v>
      </c>
      <c r="I36" s="381">
        <v>2013</v>
      </c>
      <c r="J36" s="384">
        <v>21</v>
      </c>
    </row>
    <row r="37" spans="1:10" x14ac:dyDescent="0.25">
      <c r="A37" s="379">
        <v>1502</v>
      </c>
      <c r="B37" s="381">
        <v>482</v>
      </c>
      <c r="C37" s="381" t="s">
        <v>1616</v>
      </c>
      <c r="D37" s="381">
        <v>40</v>
      </c>
      <c r="E37" s="382">
        <v>219148</v>
      </c>
      <c r="F37" s="381">
        <v>6</v>
      </c>
      <c r="G37" s="383">
        <v>14371.85</v>
      </c>
      <c r="H37" s="383">
        <v>16656.91</v>
      </c>
      <c r="I37" s="381">
        <v>2013</v>
      </c>
      <c r="J37" s="384">
        <v>17</v>
      </c>
    </row>
    <row r="38" spans="1:10" x14ac:dyDescent="0.25">
      <c r="A38" s="379">
        <v>4001</v>
      </c>
      <c r="B38" s="381">
        <v>40</v>
      </c>
      <c r="C38" s="381" t="s">
        <v>1608</v>
      </c>
      <c r="D38" s="381">
        <v>30</v>
      </c>
      <c r="E38" s="382">
        <v>219148</v>
      </c>
      <c r="F38" s="381">
        <v>6</v>
      </c>
      <c r="G38" s="383">
        <v>10165.4</v>
      </c>
      <c r="H38" s="383">
        <v>13345.73</v>
      </c>
      <c r="I38" s="381">
        <v>2012</v>
      </c>
      <c r="J38" s="384">
        <v>17</v>
      </c>
    </row>
    <row r="39" spans="1:10" x14ac:dyDescent="0.25">
      <c r="A39" s="379">
        <v>6620</v>
      </c>
      <c r="B39" s="381" t="s">
        <v>1617</v>
      </c>
      <c r="C39" s="381" t="s">
        <v>1618</v>
      </c>
      <c r="D39" s="381">
        <v>42</v>
      </c>
      <c r="E39" s="382">
        <v>219148</v>
      </c>
      <c r="F39" s="381">
        <v>6</v>
      </c>
      <c r="G39" s="383">
        <v>8572.31</v>
      </c>
      <c r="H39" s="383">
        <v>12207.28</v>
      </c>
      <c r="I39" s="381">
        <v>2012</v>
      </c>
      <c r="J39" s="384">
        <v>17</v>
      </c>
    </row>
    <row r="40" spans="1:10" x14ac:dyDescent="0.25">
      <c r="A40" s="379">
        <v>6007</v>
      </c>
      <c r="B40" s="381">
        <v>140</v>
      </c>
      <c r="C40" s="381" t="s">
        <v>1619</v>
      </c>
      <c r="D40" s="381">
        <v>42</v>
      </c>
      <c r="E40" s="382">
        <v>219148</v>
      </c>
      <c r="F40" s="381">
        <v>6</v>
      </c>
      <c r="G40" s="383">
        <v>4824.1000000000004</v>
      </c>
      <c r="H40" s="383">
        <v>14195.5</v>
      </c>
      <c r="I40" s="381">
        <v>2013</v>
      </c>
      <c r="J40" s="384">
        <v>16</v>
      </c>
    </row>
    <row r="41" spans="1:10" x14ac:dyDescent="0.25">
      <c r="A41" s="379">
        <v>6630</v>
      </c>
      <c r="B41" s="381">
        <v>321</v>
      </c>
      <c r="C41" s="381" t="s">
        <v>1601</v>
      </c>
      <c r="D41" s="381">
        <v>42</v>
      </c>
      <c r="E41" s="382">
        <v>219148</v>
      </c>
      <c r="F41" s="381">
        <v>6</v>
      </c>
      <c r="G41" s="383">
        <v>45130.28</v>
      </c>
      <c r="H41" s="383">
        <v>62651.68</v>
      </c>
      <c r="I41" s="381">
        <v>2012</v>
      </c>
      <c r="J41" s="384">
        <v>16</v>
      </c>
    </row>
    <row r="42" spans="1:10" x14ac:dyDescent="0.25">
      <c r="A42" s="379">
        <v>7601</v>
      </c>
      <c r="B42" s="381">
        <v>151</v>
      </c>
      <c r="C42" s="381" t="s">
        <v>1620</v>
      </c>
      <c r="D42" s="381">
        <v>42</v>
      </c>
      <c r="E42" s="382">
        <v>41629</v>
      </c>
      <c r="F42" s="381">
        <v>6</v>
      </c>
      <c r="G42" s="383">
        <v>11319.29</v>
      </c>
      <c r="H42" s="383">
        <v>14200.51</v>
      </c>
      <c r="I42" s="381">
        <v>2012</v>
      </c>
      <c r="J42" s="384">
        <v>16</v>
      </c>
    </row>
    <row r="43" spans="1:10" x14ac:dyDescent="0.25">
      <c r="A43" s="379">
        <v>3800</v>
      </c>
      <c r="B43" s="381" t="s">
        <v>1621</v>
      </c>
      <c r="C43" s="381" t="s">
        <v>1622</v>
      </c>
      <c r="D43" s="381">
        <v>42</v>
      </c>
      <c r="E43" s="382">
        <v>219148</v>
      </c>
      <c r="F43" s="381">
        <v>6</v>
      </c>
      <c r="G43" s="383">
        <v>15823.29</v>
      </c>
      <c r="H43" s="383">
        <v>26488.48</v>
      </c>
      <c r="I43" s="381">
        <v>2013</v>
      </c>
      <c r="J43" s="384">
        <v>15</v>
      </c>
    </row>
    <row r="44" spans="1:10" x14ac:dyDescent="0.25">
      <c r="A44" s="379">
        <v>4212</v>
      </c>
      <c r="B44" s="381">
        <v>101</v>
      </c>
      <c r="C44" s="381" t="s">
        <v>1623</v>
      </c>
      <c r="D44" s="381">
        <v>42</v>
      </c>
      <c r="E44" s="382">
        <v>41670</v>
      </c>
      <c r="F44" s="381">
        <v>6</v>
      </c>
      <c r="G44" s="383">
        <v>5857.92</v>
      </c>
      <c r="H44" s="383">
        <v>7775.02</v>
      </c>
      <c r="I44" s="381">
        <v>2012</v>
      </c>
      <c r="J44" s="384">
        <v>15</v>
      </c>
    </row>
    <row r="45" spans="1:10" x14ac:dyDescent="0.25">
      <c r="A45" s="379">
        <v>5000</v>
      </c>
      <c r="B45" s="381">
        <v>420</v>
      </c>
      <c r="C45" s="381" t="s">
        <v>1624</v>
      </c>
      <c r="D45" s="381">
        <v>42</v>
      </c>
      <c r="E45" s="382">
        <v>219148</v>
      </c>
      <c r="F45" s="381">
        <v>6</v>
      </c>
      <c r="G45" s="383">
        <v>5314.56</v>
      </c>
      <c r="H45" s="383">
        <v>6929.37</v>
      </c>
      <c r="I45" s="381">
        <v>2013</v>
      </c>
      <c r="J45" s="384">
        <v>15</v>
      </c>
    </row>
    <row r="46" spans="1:10" x14ac:dyDescent="0.25">
      <c r="A46" s="379">
        <v>6620</v>
      </c>
      <c r="B46" s="381" t="s">
        <v>1617</v>
      </c>
      <c r="C46" s="381" t="s">
        <v>1618</v>
      </c>
      <c r="D46" s="381">
        <v>42</v>
      </c>
      <c r="E46" s="382">
        <v>219148</v>
      </c>
      <c r="F46" s="381">
        <v>6</v>
      </c>
      <c r="G46" s="383">
        <v>5557.67</v>
      </c>
      <c r="H46" s="383">
        <v>7208.38</v>
      </c>
      <c r="I46" s="381">
        <v>2013</v>
      </c>
      <c r="J46" s="384">
        <v>15</v>
      </c>
    </row>
    <row r="47" spans="1:10" x14ac:dyDescent="0.25">
      <c r="A47" s="379">
        <v>6650</v>
      </c>
      <c r="B47" s="381">
        <v>371</v>
      </c>
      <c r="C47" s="381" t="s">
        <v>1625</v>
      </c>
      <c r="D47" s="381">
        <v>42</v>
      </c>
      <c r="E47" s="382">
        <v>219148</v>
      </c>
      <c r="F47" s="381">
        <v>6</v>
      </c>
      <c r="G47" s="383">
        <v>7583.44</v>
      </c>
      <c r="H47" s="383">
        <v>9847.52</v>
      </c>
      <c r="I47" s="381">
        <v>2012</v>
      </c>
      <c r="J47" s="384">
        <v>15</v>
      </c>
    </row>
    <row r="48" spans="1:10" x14ac:dyDescent="0.25">
      <c r="A48" s="379">
        <v>1301</v>
      </c>
      <c r="B48" s="381" t="s">
        <v>1626</v>
      </c>
      <c r="C48" s="381" t="s">
        <v>1627</v>
      </c>
      <c r="D48" s="381">
        <v>42</v>
      </c>
      <c r="E48" s="382">
        <v>219148</v>
      </c>
      <c r="F48" s="381">
        <v>6</v>
      </c>
      <c r="G48" s="383">
        <v>3235.83</v>
      </c>
      <c r="H48" s="383">
        <v>5194.72</v>
      </c>
      <c r="I48" s="381">
        <v>2012</v>
      </c>
      <c r="J48" s="384">
        <v>14</v>
      </c>
    </row>
    <row r="49" spans="1:10" x14ac:dyDescent="0.25">
      <c r="A49" s="379">
        <v>1309</v>
      </c>
      <c r="B49" s="381">
        <v>660</v>
      </c>
      <c r="C49" s="381" t="s">
        <v>1628</v>
      </c>
      <c r="D49" s="381">
        <v>42</v>
      </c>
      <c r="E49" s="382">
        <v>219148</v>
      </c>
      <c r="F49" s="381">
        <v>6</v>
      </c>
      <c r="G49" s="383">
        <v>3279.77</v>
      </c>
      <c r="H49" s="383">
        <v>4355.96</v>
      </c>
      <c r="I49" s="381">
        <v>2013</v>
      </c>
      <c r="J49" s="384">
        <v>13</v>
      </c>
    </row>
    <row r="50" spans="1:10" x14ac:dyDescent="0.25">
      <c r="A50" s="379">
        <v>1516</v>
      </c>
      <c r="B50" s="381">
        <v>170</v>
      </c>
      <c r="C50" s="381" t="s">
        <v>1614</v>
      </c>
      <c r="D50" s="381">
        <v>42</v>
      </c>
      <c r="E50" s="382">
        <v>219148</v>
      </c>
      <c r="F50" s="381">
        <v>6</v>
      </c>
      <c r="G50" s="383">
        <v>12605.26</v>
      </c>
      <c r="H50" s="383">
        <v>16529.77</v>
      </c>
      <c r="I50" s="381">
        <v>2012</v>
      </c>
      <c r="J50" s="384">
        <v>13</v>
      </c>
    </row>
    <row r="51" spans="1:10" x14ac:dyDescent="0.25">
      <c r="A51" s="379">
        <v>3800</v>
      </c>
      <c r="B51" s="381" t="s">
        <v>1629</v>
      </c>
      <c r="C51" s="381" t="s">
        <v>1630</v>
      </c>
      <c r="D51" s="381">
        <v>15</v>
      </c>
      <c r="E51" s="382">
        <v>219148</v>
      </c>
      <c r="F51" s="381">
        <v>6</v>
      </c>
      <c r="G51" s="383">
        <v>3716.09</v>
      </c>
      <c r="H51" s="383">
        <v>6029.83</v>
      </c>
      <c r="I51" s="381">
        <v>2013</v>
      </c>
      <c r="J51" s="384">
        <v>13</v>
      </c>
    </row>
    <row r="52" spans="1:10" x14ac:dyDescent="0.25">
      <c r="A52" s="379">
        <v>5501</v>
      </c>
      <c r="B52" s="381">
        <v>480</v>
      </c>
      <c r="C52" s="381" t="s">
        <v>1610</v>
      </c>
      <c r="D52" s="381">
        <v>42</v>
      </c>
      <c r="E52" s="382">
        <v>219148</v>
      </c>
      <c r="F52" s="381">
        <v>6</v>
      </c>
      <c r="G52" s="383">
        <v>6633.56</v>
      </c>
      <c r="H52" s="383">
        <v>8738.8799999999992</v>
      </c>
      <c r="I52" s="381">
        <v>2013</v>
      </c>
      <c r="J52" s="384">
        <v>13</v>
      </c>
    </row>
    <row r="53" spans="1:10" x14ac:dyDescent="0.25">
      <c r="A53" s="379">
        <v>3800</v>
      </c>
      <c r="B53" s="381" t="s">
        <v>1631</v>
      </c>
      <c r="C53" s="381" t="s">
        <v>1632</v>
      </c>
      <c r="D53" s="381">
        <v>15</v>
      </c>
      <c r="E53" s="382">
        <v>219148</v>
      </c>
      <c r="F53" s="381">
        <v>6</v>
      </c>
      <c r="G53" s="383">
        <v>2558.64</v>
      </c>
      <c r="H53" s="383">
        <v>3665.92</v>
      </c>
      <c r="I53" s="381">
        <v>2012</v>
      </c>
      <c r="J53" s="384">
        <v>12</v>
      </c>
    </row>
    <row r="54" spans="1:10" x14ac:dyDescent="0.25">
      <c r="A54" s="379">
        <v>3800</v>
      </c>
      <c r="B54" s="381" t="s">
        <v>1633</v>
      </c>
      <c r="C54" s="381" t="s">
        <v>1634</v>
      </c>
      <c r="D54" s="381">
        <v>42</v>
      </c>
      <c r="E54" s="382">
        <v>219148</v>
      </c>
      <c r="F54" s="381">
        <v>6</v>
      </c>
      <c r="G54" s="383">
        <v>4718.0600000000004</v>
      </c>
      <c r="H54" s="383">
        <v>6850.16</v>
      </c>
      <c r="I54" s="381">
        <v>2012</v>
      </c>
      <c r="J54" s="384">
        <v>12</v>
      </c>
    </row>
    <row r="55" spans="1:10" x14ac:dyDescent="0.25">
      <c r="A55" s="379">
        <v>6007</v>
      </c>
      <c r="B55" s="381">
        <v>140</v>
      </c>
      <c r="C55" s="381" t="s">
        <v>1619</v>
      </c>
      <c r="D55" s="381">
        <v>42</v>
      </c>
      <c r="E55" s="382">
        <v>219148</v>
      </c>
      <c r="F55" s="381">
        <v>6</v>
      </c>
      <c r="G55" s="383">
        <v>4652.05</v>
      </c>
      <c r="H55" s="383">
        <v>9244.4599999999991</v>
      </c>
      <c r="I55" s="381">
        <v>2012</v>
      </c>
      <c r="J55" s="384">
        <v>12</v>
      </c>
    </row>
    <row r="56" spans="1:10" x14ac:dyDescent="0.25">
      <c r="A56" s="379">
        <v>3800</v>
      </c>
      <c r="B56" s="381" t="s">
        <v>1621</v>
      </c>
      <c r="C56" s="381" t="s">
        <v>1622</v>
      </c>
      <c r="D56" s="381">
        <v>42</v>
      </c>
      <c r="E56" s="382">
        <v>219148</v>
      </c>
      <c r="F56" s="381">
        <v>6</v>
      </c>
      <c r="G56" s="383">
        <v>6583.93</v>
      </c>
      <c r="H56" s="383">
        <v>10393.52</v>
      </c>
      <c r="I56" s="381">
        <v>2012</v>
      </c>
      <c r="J56" s="384">
        <v>10</v>
      </c>
    </row>
    <row r="57" spans="1:10" x14ac:dyDescent="0.25">
      <c r="A57" s="379">
        <v>5001</v>
      </c>
      <c r="B57" s="381">
        <v>100</v>
      </c>
      <c r="C57" s="381" t="s">
        <v>1615</v>
      </c>
      <c r="D57" s="381">
        <v>42</v>
      </c>
      <c r="E57" s="382">
        <v>219148</v>
      </c>
      <c r="F57" s="381">
        <v>6</v>
      </c>
      <c r="G57" s="383">
        <v>3533.19</v>
      </c>
      <c r="H57" s="383">
        <v>4604.78</v>
      </c>
      <c r="I57" s="381">
        <v>2013</v>
      </c>
      <c r="J57" s="384">
        <v>10</v>
      </c>
    </row>
    <row r="58" spans="1:10" x14ac:dyDescent="0.25">
      <c r="A58" s="379">
        <v>6650</v>
      </c>
      <c r="B58" s="381">
        <v>371</v>
      </c>
      <c r="C58" s="381" t="s">
        <v>1625</v>
      </c>
      <c r="D58" s="381">
        <v>42</v>
      </c>
      <c r="E58" s="382">
        <v>219148</v>
      </c>
      <c r="F58" s="381">
        <v>6</v>
      </c>
      <c r="G58" s="383">
        <v>2975.95</v>
      </c>
      <c r="H58" s="383">
        <v>4375.34</v>
      </c>
      <c r="I58" s="381">
        <v>2013</v>
      </c>
      <c r="J58" s="384">
        <v>10</v>
      </c>
    </row>
    <row r="59" spans="1:10" x14ac:dyDescent="0.25">
      <c r="A59" s="379">
        <v>1301</v>
      </c>
      <c r="B59" s="381" t="s">
        <v>1626</v>
      </c>
      <c r="C59" s="381" t="s">
        <v>1627</v>
      </c>
      <c r="D59" s="381">
        <v>42</v>
      </c>
      <c r="E59" s="382">
        <v>219148</v>
      </c>
      <c r="F59" s="381">
        <v>6</v>
      </c>
      <c r="G59" s="383">
        <v>15161.97</v>
      </c>
      <c r="H59" s="383">
        <v>24405.38</v>
      </c>
      <c r="I59" s="381">
        <v>2013</v>
      </c>
      <c r="J59" s="384">
        <v>9</v>
      </c>
    </row>
    <row r="60" spans="1:10" x14ac:dyDescent="0.25">
      <c r="A60" s="379">
        <v>3800</v>
      </c>
      <c r="B60" s="381" t="s">
        <v>1631</v>
      </c>
      <c r="C60" s="381" t="s">
        <v>1632</v>
      </c>
      <c r="D60" s="381">
        <v>15</v>
      </c>
      <c r="E60" s="382">
        <v>219148</v>
      </c>
      <c r="F60" s="381">
        <v>6</v>
      </c>
      <c r="G60" s="383">
        <v>1984.98</v>
      </c>
      <c r="H60" s="383">
        <v>3144.22</v>
      </c>
      <c r="I60" s="381">
        <v>2013</v>
      </c>
      <c r="J60" s="384">
        <v>9</v>
      </c>
    </row>
    <row r="61" spans="1:10" x14ac:dyDescent="0.25">
      <c r="A61" s="379">
        <v>6620</v>
      </c>
      <c r="B61" s="381" t="s">
        <v>1612</v>
      </c>
      <c r="C61" s="381" t="s">
        <v>1613</v>
      </c>
      <c r="D61" s="381">
        <v>42</v>
      </c>
      <c r="E61" s="382">
        <v>219148</v>
      </c>
      <c r="F61" s="381">
        <v>6</v>
      </c>
      <c r="G61" s="383">
        <v>8535.85</v>
      </c>
      <c r="H61" s="383">
        <v>11993.86</v>
      </c>
      <c r="I61" s="381">
        <v>2012</v>
      </c>
      <c r="J61" s="384">
        <v>9</v>
      </c>
    </row>
    <row r="62" spans="1:10" x14ac:dyDescent="0.25">
      <c r="A62" s="379">
        <v>6630</v>
      </c>
      <c r="B62" s="381">
        <v>151</v>
      </c>
      <c r="C62" s="381" t="s">
        <v>1635</v>
      </c>
      <c r="D62" s="381">
        <v>42</v>
      </c>
      <c r="E62" s="382">
        <v>219148</v>
      </c>
      <c r="F62" s="381">
        <v>6</v>
      </c>
      <c r="G62" s="383">
        <v>5588.59</v>
      </c>
      <c r="H62" s="383">
        <v>7690.24</v>
      </c>
      <c r="I62" s="381">
        <v>2013</v>
      </c>
      <c r="J62" s="384">
        <v>9</v>
      </c>
    </row>
    <row r="63" spans="1:10" x14ac:dyDescent="0.25">
      <c r="A63" s="379">
        <v>7603</v>
      </c>
      <c r="B63" s="381">
        <v>51</v>
      </c>
      <c r="C63" s="381" t="s">
        <v>1636</v>
      </c>
      <c r="D63" s="381">
        <v>42</v>
      </c>
      <c r="E63" s="382">
        <v>219148</v>
      </c>
      <c r="F63" s="381">
        <v>6</v>
      </c>
      <c r="G63" s="383">
        <v>18437.740000000002</v>
      </c>
      <c r="H63" s="383">
        <v>34123.46</v>
      </c>
      <c r="I63" s="381">
        <v>2013</v>
      </c>
      <c r="J63" s="384">
        <v>9</v>
      </c>
    </row>
    <row r="64" spans="1:10" x14ac:dyDescent="0.25">
      <c r="A64" s="379">
        <v>8001</v>
      </c>
      <c r="B64" s="381">
        <v>534</v>
      </c>
      <c r="C64" s="381" t="s">
        <v>1637</v>
      </c>
      <c r="D64" s="381">
        <v>42</v>
      </c>
      <c r="E64" s="382">
        <v>219148</v>
      </c>
      <c r="F64" s="381">
        <v>6</v>
      </c>
      <c r="G64" s="383">
        <v>5810.42</v>
      </c>
      <c r="H64" s="383">
        <v>8095.18</v>
      </c>
      <c r="I64" s="381">
        <v>2012</v>
      </c>
      <c r="J64" s="384">
        <v>9</v>
      </c>
    </row>
    <row r="65" spans="1:10" x14ac:dyDescent="0.25">
      <c r="A65" s="379">
        <v>1401</v>
      </c>
      <c r="B65" s="381">
        <v>295</v>
      </c>
      <c r="C65" s="381" t="s">
        <v>1638</v>
      </c>
      <c r="D65" s="381">
        <v>1</v>
      </c>
      <c r="E65" s="382">
        <v>219148</v>
      </c>
      <c r="F65" s="381">
        <v>6</v>
      </c>
      <c r="G65" s="383">
        <v>4929.7</v>
      </c>
      <c r="H65" s="383">
        <v>6545.2</v>
      </c>
      <c r="I65" s="381">
        <v>2012</v>
      </c>
      <c r="J65" s="384">
        <v>8</v>
      </c>
    </row>
    <row r="66" spans="1:10" x14ac:dyDescent="0.25">
      <c r="A66" s="379">
        <v>1502</v>
      </c>
      <c r="B66" s="381">
        <v>200</v>
      </c>
      <c r="C66" s="381" t="s">
        <v>1639</v>
      </c>
      <c r="D66" s="381">
        <v>42</v>
      </c>
      <c r="E66" s="382">
        <v>219148</v>
      </c>
      <c r="F66" s="381">
        <v>6</v>
      </c>
      <c r="G66" s="383">
        <v>1916.67</v>
      </c>
      <c r="H66" s="383">
        <v>2720.15</v>
      </c>
      <c r="I66" s="381">
        <v>2012</v>
      </c>
      <c r="J66" s="384">
        <v>8</v>
      </c>
    </row>
    <row r="67" spans="1:10" x14ac:dyDescent="0.25">
      <c r="A67" s="379">
        <v>1502</v>
      </c>
      <c r="B67" s="381">
        <v>480</v>
      </c>
      <c r="C67" s="381" t="s">
        <v>1640</v>
      </c>
      <c r="D67" s="381">
        <v>12</v>
      </c>
      <c r="E67" s="382">
        <v>219148</v>
      </c>
      <c r="F67" s="381">
        <v>6</v>
      </c>
      <c r="G67" s="383">
        <v>16145.1</v>
      </c>
      <c r="H67" s="383">
        <v>18979.95</v>
      </c>
      <c r="I67" s="381">
        <v>2012</v>
      </c>
      <c r="J67" s="384">
        <v>8</v>
      </c>
    </row>
    <row r="68" spans="1:10" x14ac:dyDescent="0.25">
      <c r="A68" s="379">
        <v>7603</v>
      </c>
      <c r="B68" s="381">
        <v>51</v>
      </c>
      <c r="C68" s="381" t="s">
        <v>1636</v>
      </c>
      <c r="D68" s="381">
        <v>42</v>
      </c>
      <c r="E68" s="382">
        <v>219148</v>
      </c>
      <c r="F68" s="381">
        <v>6</v>
      </c>
      <c r="G68" s="383">
        <v>7577.67</v>
      </c>
      <c r="H68" s="383">
        <v>11040.58</v>
      </c>
      <c r="I68" s="381">
        <v>2012</v>
      </c>
      <c r="J68" s="384">
        <v>8</v>
      </c>
    </row>
    <row r="69" spans="1:10" x14ac:dyDescent="0.25">
      <c r="A69" s="379">
        <v>7004</v>
      </c>
      <c r="B69" s="381">
        <v>91</v>
      </c>
      <c r="C69" s="381" t="s">
        <v>1641</v>
      </c>
      <c r="D69" s="381">
        <v>42</v>
      </c>
      <c r="E69" s="381" t="s">
        <v>1642</v>
      </c>
      <c r="F69" s="381">
        <v>6</v>
      </c>
      <c r="G69" s="383">
        <v>5164.01</v>
      </c>
      <c r="H69" s="383">
        <v>7397.43</v>
      </c>
      <c r="I69" s="381">
        <v>2012</v>
      </c>
      <c r="J69" s="384">
        <v>7</v>
      </c>
    </row>
    <row r="70" spans="1:10" x14ac:dyDescent="0.25">
      <c r="A70" s="379">
        <v>8001</v>
      </c>
      <c r="B70" s="381">
        <v>531</v>
      </c>
      <c r="C70" s="381" t="s">
        <v>1643</v>
      </c>
      <c r="D70" s="381">
        <v>42</v>
      </c>
      <c r="E70" s="382">
        <v>219148</v>
      </c>
      <c r="F70" s="381">
        <v>6</v>
      </c>
      <c r="G70" s="383">
        <v>8142.15</v>
      </c>
      <c r="H70" s="383">
        <v>18214.86</v>
      </c>
      <c r="I70" s="381">
        <v>2013</v>
      </c>
      <c r="J70" s="384">
        <v>7</v>
      </c>
    </row>
    <row r="71" spans="1:10" x14ac:dyDescent="0.25">
      <c r="A71" s="379">
        <v>8001</v>
      </c>
      <c r="B71" s="381">
        <v>533</v>
      </c>
      <c r="C71" s="381" t="s">
        <v>1644</v>
      </c>
      <c r="D71" s="381">
        <v>42</v>
      </c>
      <c r="E71" s="382">
        <v>219148</v>
      </c>
      <c r="F71" s="381">
        <v>6</v>
      </c>
      <c r="G71" s="383">
        <v>9831.25</v>
      </c>
      <c r="H71" s="383">
        <v>14677.43</v>
      </c>
      <c r="I71" s="381">
        <v>2012</v>
      </c>
      <c r="J71" s="384">
        <v>7</v>
      </c>
    </row>
    <row r="72" spans="1:10" x14ac:dyDescent="0.25">
      <c r="A72" s="379">
        <v>1501</v>
      </c>
      <c r="B72" s="381">
        <v>90</v>
      </c>
      <c r="C72" s="381" t="s">
        <v>1645</v>
      </c>
      <c r="D72" s="381">
        <v>1</v>
      </c>
      <c r="E72" s="382">
        <v>219148</v>
      </c>
      <c r="F72" s="381">
        <v>6</v>
      </c>
      <c r="G72" s="383">
        <v>7990.96</v>
      </c>
      <c r="H72" s="383">
        <v>13657.11</v>
      </c>
      <c r="I72" s="381">
        <v>2012</v>
      </c>
      <c r="J72" s="384">
        <v>6</v>
      </c>
    </row>
    <row r="73" spans="1:10" x14ac:dyDescent="0.25">
      <c r="A73" s="379">
        <v>1516</v>
      </c>
      <c r="B73" s="381">
        <v>390</v>
      </c>
      <c r="C73" s="381" t="s">
        <v>1646</v>
      </c>
      <c r="D73" s="381">
        <v>8</v>
      </c>
      <c r="E73" s="382">
        <v>219148</v>
      </c>
      <c r="F73" s="381">
        <v>6</v>
      </c>
      <c r="G73" s="383">
        <v>7132.73</v>
      </c>
      <c r="H73" s="383">
        <v>8810.2000000000007</v>
      </c>
      <c r="I73" s="381">
        <v>2013</v>
      </c>
      <c r="J73" s="384">
        <v>6</v>
      </c>
    </row>
    <row r="74" spans="1:10" x14ac:dyDescent="0.25">
      <c r="A74" s="379">
        <v>2000</v>
      </c>
      <c r="B74" s="381">
        <v>211</v>
      </c>
      <c r="C74" s="381" t="s">
        <v>1647</v>
      </c>
      <c r="D74" s="381">
        <v>10</v>
      </c>
      <c r="E74" s="382">
        <v>219148</v>
      </c>
      <c r="F74" s="381">
        <v>6</v>
      </c>
      <c r="G74" s="383">
        <v>14229.13</v>
      </c>
      <c r="H74" s="383">
        <v>18720.330000000002</v>
      </c>
      <c r="I74" s="381">
        <v>2012</v>
      </c>
      <c r="J74" s="384">
        <v>6</v>
      </c>
    </row>
    <row r="75" spans="1:10" x14ac:dyDescent="0.25">
      <c r="A75" s="379">
        <v>6006</v>
      </c>
      <c r="B75" s="381">
        <v>160</v>
      </c>
      <c r="C75" s="381" t="s">
        <v>1648</v>
      </c>
      <c r="D75" s="381">
        <v>99</v>
      </c>
      <c r="E75" s="382">
        <v>219148</v>
      </c>
      <c r="F75" s="381">
        <v>6</v>
      </c>
      <c r="G75" s="383">
        <v>4170.25</v>
      </c>
      <c r="H75" s="383">
        <v>7611.06</v>
      </c>
      <c r="I75" s="381">
        <v>2013</v>
      </c>
      <c r="J75" s="384">
        <v>6</v>
      </c>
    </row>
    <row r="76" spans="1:10" x14ac:dyDescent="0.25">
      <c r="A76" s="379">
        <v>8001</v>
      </c>
      <c r="B76" s="381">
        <v>534</v>
      </c>
      <c r="C76" s="381" t="s">
        <v>1637</v>
      </c>
      <c r="D76" s="381">
        <v>42</v>
      </c>
      <c r="E76" s="382">
        <v>219148</v>
      </c>
      <c r="F76" s="381">
        <v>6</v>
      </c>
      <c r="G76" s="383">
        <v>9698.31</v>
      </c>
      <c r="H76" s="383">
        <v>16635.27</v>
      </c>
      <c r="I76" s="381">
        <v>2013</v>
      </c>
      <c r="J76" s="384">
        <v>6</v>
      </c>
    </row>
    <row r="77" spans="1:10" x14ac:dyDescent="0.25">
      <c r="A77" s="379">
        <v>1330</v>
      </c>
      <c r="B77" s="381">
        <v>580</v>
      </c>
      <c r="C77" s="381" t="s">
        <v>1649</v>
      </c>
      <c r="D77" s="381">
        <v>5</v>
      </c>
      <c r="E77" s="382">
        <v>219148</v>
      </c>
      <c r="F77" s="381">
        <v>6</v>
      </c>
      <c r="G77" s="383">
        <v>4114.2700000000004</v>
      </c>
      <c r="H77" s="383">
        <v>5337.58</v>
      </c>
      <c r="I77" s="381">
        <v>2013</v>
      </c>
      <c r="J77" s="384">
        <v>5</v>
      </c>
    </row>
    <row r="78" spans="1:10" x14ac:dyDescent="0.25">
      <c r="A78" s="379">
        <v>1501</v>
      </c>
      <c r="B78" s="381">
        <v>90</v>
      </c>
      <c r="C78" s="381" t="s">
        <v>1645</v>
      </c>
      <c r="D78" s="381">
        <v>1</v>
      </c>
      <c r="E78" s="382">
        <v>219148</v>
      </c>
      <c r="F78" s="381">
        <v>6</v>
      </c>
      <c r="G78" s="383">
        <v>7279.44</v>
      </c>
      <c r="H78" s="383">
        <v>13633.36</v>
      </c>
      <c r="I78" s="381">
        <v>2013</v>
      </c>
      <c r="J78" s="384">
        <v>5</v>
      </c>
    </row>
    <row r="79" spans="1:10" x14ac:dyDescent="0.25">
      <c r="A79" s="379">
        <v>2000</v>
      </c>
      <c r="B79" s="381">
        <v>271</v>
      </c>
      <c r="C79" s="381" t="s">
        <v>1650</v>
      </c>
      <c r="D79" s="381">
        <v>6</v>
      </c>
      <c r="E79" s="382">
        <v>219148</v>
      </c>
      <c r="F79" s="381">
        <v>6</v>
      </c>
      <c r="G79" s="383">
        <v>10122.99</v>
      </c>
      <c r="H79" s="383">
        <v>13334.97</v>
      </c>
      <c r="I79" s="381">
        <v>2012</v>
      </c>
      <c r="J79" s="384">
        <v>5</v>
      </c>
    </row>
    <row r="80" spans="1:10" x14ac:dyDescent="0.25">
      <c r="A80" s="379">
        <v>2000</v>
      </c>
      <c r="B80" s="381">
        <v>761</v>
      </c>
      <c r="C80" s="381" t="s">
        <v>1651</v>
      </c>
      <c r="D80" s="381">
        <v>1</v>
      </c>
      <c r="E80" s="382">
        <v>41381</v>
      </c>
      <c r="F80" s="381">
        <v>6</v>
      </c>
      <c r="G80" s="383">
        <v>16843.66</v>
      </c>
      <c r="H80" s="383">
        <v>21220.52</v>
      </c>
      <c r="I80" s="381">
        <v>2012</v>
      </c>
      <c r="J80" s="384">
        <v>5</v>
      </c>
    </row>
    <row r="81" spans="1:10" x14ac:dyDescent="0.25">
      <c r="A81" s="379">
        <v>6620</v>
      </c>
      <c r="B81" s="381">
        <v>71</v>
      </c>
      <c r="C81" s="381" t="s">
        <v>1652</v>
      </c>
      <c r="D81" s="381">
        <v>8</v>
      </c>
      <c r="E81" s="382">
        <v>219148</v>
      </c>
      <c r="F81" s="381">
        <v>6</v>
      </c>
      <c r="G81" s="383">
        <v>10410.540000000001</v>
      </c>
      <c r="H81" s="383">
        <v>12317.28</v>
      </c>
      <c r="I81" s="381">
        <v>2013</v>
      </c>
      <c r="J81" s="384">
        <v>5</v>
      </c>
    </row>
    <row r="82" spans="1:10" x14ac:dyDescent="0.25">
      <c r="A82" s="379">
        <v>7603</v>
      </c>
      <c r="B82" s="381">
        <v>461</v>
      </c>
      <c r="C82" s="381" t="s">
        <v>1653</v>
      </c>
      <c r="D82" s="381">
        <v>99</v>
      </c>
      <c r="E82" s="382">
        <v>219148</v>
      </c>
      <c r="F82" s="381">
        <v>6</v>
      </c>
      <c r="G82" s="383">
        <v>7207.21</v>
      </c>
      <c r="H82" s="383">
        <v>8434.9699999999993</v>
      </c>
      <c r="I82" s="381">
        <v>2013</v>
      </c>
      <c r="J82" s="384">
        <v>5</v>
      </c>
    </row>
    <row r="83" spans="1:10" x14ac:dyDescent="0.25">
      <c r="A83" s="379">
        <v>8005</v>
      </c>
      <c r="B83" s="381">
        <v>461</v>
      </c>
      <c r="C83" s="381" t="s">
        <v>1654</v>
      </c>
      <c r="D83" s="381">
        <v>1</v>
      </c>
      <c r="E83" s="382">
        <v>219148</v>
      </c>
      <c r="F83" s="381">
        <v>6</v>
      </c>
      <c r="G83" s="383">
        <v>5157.57</v>
      </c>
      <c r="H83" s="383">
        <v>7156.81</v>
      </c>
      <c r="I83" s="381">
        <v>2012</v>
      </c>
      <c r="J83" s="384">
        <v>5</v>
      </c>
    </row>
    <row r="84" spans="1:10" x14ac:dyDescent="0.25">
      <c r="A84" s="379">
        <v>1330</v>
      </c>
      <c r="B84" s="381">
        <v>190</v>
      </c>
      <c r="C84" s="381" t="s">
        <v>1655</v>
      </c>
      <c r="D84" s="381">
        <v>99</v>
      </c>
      <c r="E84" s="382">
        <v>219148</v>
      </c>
      <c r="F84" s="381">
        <v>6</v>
      </c>
      <c r="G84" s="383">
        <v>28192.45</v>
      </c>
      <c r="H84" s="383">
        <v>30400.29</v>
      </c>
      <c r="I84" s="381">
        <v>2013</v>
      </c>
      <c r="J84" s="384">
        <v>4</v>
      </c>
    </row>
    <row r="85" spans="1:10" x14ac:dyDescent="0.25">
      <c r="A85" s="379">
        <v>1351</v>
      </c>
      <c r="B85" s="381">
        <v>400</v>
      </c>
      <c r="C85" s="381" t="s">
        <v>1656</v>
      </c>
      <c r="D85" s="381">
        <v>99</v>
      </c>
      <c r="E85" s="382">
        <v>219148</v>
      </c>
      <c r="F85" s="381">
        <v>6</v>
      </c>
      <c r="G85" s="383">
        <v>4691.3900000000003</v>
      </c>
      <c r="H85" s="383">
        <v>7715.04</v>
      </c>
      <c r="I85" s="381">
        <v>2012</v>
      </c>
      <c r="J85" s="384">
        <v>4</v>
      </c>
    </row>
    <row r="86" spans="1:10" x14ac:dyDescent="0.25">
      <c r="A86" s="379">
        <v>1401</v>
      </c>
      <c r="B86" s="381">
        <v>295</v>
      </c>
      <c r="C86" s="381" t="s">
        <v>1638</v>
      </c>
      <c r="D86" s="381">
        <v>1</v>
      </c>
      <c r="E86" s="382">
        <v>219148</v>
      </c>
      <c r="F86" s="381">
        <v>6</v>
      </c>
      <c r="G86" s="383">
        <v>9436.73</v>
      </c>
      <c r="H86" s="383">
        <v>11857.18</v>
      </c>
      <c r="I86" s="381">
        <v>2013</v>
      </c>
      <c r="J86" s="384">
        <v>4</v>
      </c>
    </row>
    <row r="87" spans="1:10" x14ac:dyDescent="0.25">
      <c r="A87" s="379">
        <v>3800</v>
      </c>
      <c r="B87" s="381" t="s">
        <v>1657</v>
      </c>
      <c r="C87" s="381" t="s">
        <v>1658</v>
      </c>
      <c r="D87" s="381">
        <v>15</v>
      </c>
      <c r="E87" s="382">
        <v>219148</v>
      </c>
      <c r="F87" s="381">
        <v>6</v>
      </c>
      <c r="G87" s="383">
        <v>2318.5100000000002</v>
      </c>
      <c r="H87" s="383">
        <v>3218.28</v>
      </c>
      <c r="I87" s="381">
        <v>2012</v>
      </c>
      <c r="J87" s="384">
        <v>4</v>
      </c>
    </row>
    <row r="88" spans="1:10" x14ac:dyDescent="0.25">
      <c r="A88" s="379">
        <v>3800</v>
      </c>
      <c r="B88" s="381" t="s">
        <v>1633</v>
      </c>
      <c r="C88" s="381" t="s">
        <v>1634</v>
      </c>
      <c r="D88" s="381">
        <v>42</v>
      </c>
      <c r="E88" s="382">
        <v>219148</v>
      </c>
      <c r="F88" s="381">
        <v>6</v>
      </c>
      <c r="G88" s="383">
        <v>5970.41</v>
      </c>
      <c r="H88" s="383">
        <v>10798.6</v>
      </c>
      <c r="I88" s="381">
        <v>2013</v>
      </c>
      <c r="J88" s="384">
        <v>4</v>
      </c>
    </row>
    <row r="89" spans="1:10" x14ac:dyDescent="0.25">
      <c r="A89" s="379">
        <v>3800</v>
      </c>
      <c r="B89" s="381" t="s">
        <v>1659</v>
      </c>
      <c r="C89" s="381" t="s">
        <v>1660</v>
      </c>
      <c r="D89" s="381">
        <v>15</v>
      </c>
      <c r="E89" s="382">
        <v>219148</v>
      </c>
      <c r="F89" s="381">
        <v>6</v>
      </c>
      <c r="G89" s="383">
        <v>3670.78</v>
      </c>
      <c r="H89" s="383">
        <v>5515.5</v>
      </c>
      <c r="I89" s="381">
        <v>2012</v>
      </c>
      <c r="J89" s="384">
        <v>4</v>
      </c>
    </row>
    <row r="90" spans="1:10" x14ac:dyDescent="0.25">
      <c r="A90" s="379">
        <v>5004</v>
      </c>
      <c r="B90" s="381">
        <v>100</v>
      </c>
      <c r="C90" s="381" t="s">
        <v>1661</v>
      </c>
      <c r="D90" s="381">
        <v>42</v>
      </c>
      <c r="E90" s="382">
        <v>219148</v>
      </c>
      <c r="F90" s="381">
        <v>6</v>
      </c>
      <c r="G90" s="383">
        <v>5449.3</v>
      </c>
      <c r="H90" s="383">
        <v>8734.91</v>
      </c>
      <c r="I90" s="381">
        <v>2012</v>
      </c>
      <c r="J90" s="384">
        <v>4</v>
      </c>
    </row>
    <row r="91" spans="1:10" x14ac:dyDescent="0.25">
      <c r="A91" s="379">
        <v>6630</v>
      </c>
      <c r="B91" s="381">
        <v>301</v>
      </c>
      <c r="C91" s="381" t="s">
        <v>1662</v>
      </c>
      <c r="D91" s="381">
        <v>1</v>
      </c>
      <c r="E91" s="382">
        <v>219148</v>
      </c>
      <c r="F91" s="381">
        <v>6</v>
      </c>
      <c r="G91" s="383">
        <v>23620.65</v>
      </c>
      <c r="H91" s="383">
        <v>32943.32</v>
      </c>
      <c r="I91" s="381">
        <v>2013</v>
      </c>
      <c r="J91" s="384">
        <v>4</v>
      </c>
    </row>
    <row r="92" spans="1:10" x14ac:dyDescent="0.25">
      <c r="A92" s="379">
        <v>6650</v>
      </c>
      <c r="B92" s="381">
        <v>202</v>
      </c>
      <c r="C92" s="381" t="s">
        <v>1663</v>
      </c>
      <c r="D92" s="381">
        <v>99</v>
      </c>
      <c r="E92" s="382">
        <v>219148</v>
      </c>
      <c r="F92" s="381">
        <v>6</v>
      </c>
      <c r="G92" s="383">
        <v>14943.41</v>
      </c>
      <c r="H92" s="383">
        <v>19312.38</v>
      </c>
      <c r="I92" s="381">
        <v>2012</v>
      </c>
      <c r="J92" s="384">
        <v>4</v>
      </c>
    </row>
    <row r="93" spans="1:10" x14ac:dyDescent="0.25">
      <c r="A93" s="379">
        <v>6650</v>
      </c>
      <c r="B93" s="381">
        <v>331</v>
      </c>
      <c r="C93" s="381" t="s">
        <v>1583</v>
      </c>
      <c r="D93" s="381">
        <v>1</v>
      </c>
      <c r="E93" s="382">
        <v>219148</v>
      </c>
      <c r="F93" s="381">
        <v>6</v>
      </c>
      <c r="G93" s="383">
        <v>17812.48</v>
      </c>
      <c r="H93" s="383">
        <v>25045.99</v>
      </c>
      <c r="I93" s="381">
        <v>2012</v>
      </c>
      <c r="J93" s="384">
        <v>4</v>
      </c>
    </row>
    <row r="94" spans="1:10" x14ac:dyDescent="0.25">
      <c r="A94" s="379">
        <v>7601</v>
      </c>
      <c r="B94" s="381">
        <v>151</v>
      </c>
      <c r="C94" s="381" t="s">
        <v>1620</v>
      </c>
      <c r="D94" s="381">
        <v>42</v>
      </c>
      <c r="E94" s="382">
        <v>41629</v>
      </c>
      <c r="F94" s="381">
        <v>6</v>
      </c>
      <c r="G94" s="383">
        <v>7553.78</v>
      </c>
      <c r="H94" s="383">
        <v>10525.28</v>
      </c>
      <c r="I94" s="381">
        <v>2013</v>
      </c>
      <c r="J94" s="384">
        <v>4</v>
      </c>
    </row>
    <row r="95" spans="1:10" x14ac:dyDescent="0.25">
      <c r="A95" s="379">
        <v>8001</v>
      </c>
      <c r="B95" s="381">
        <v>533</v>
      </c>
      <c r="C95" s="381" t="s">
        <v>1644</v>
      </c>
      <c r="D95" s="381">
        <v>42</v>
      </c>
      <c r="E95" s="382">
        <v>219148</v>
      </c>
      <c r="F95" s="381">
        <v>6</v>
      </c>
      <c r="G95" s="383">
        <v>8723.52</v>
      </c>
      <c r="H95" s="383">
        <v>12124.71</v>
      </c>
      <c r="I95" s="381">
        <v>2013</v>
      </c>
      <c r="J95" s="384">
        <v>4</v>
      </c>
    </row>
    <row r="96" spans="1:10" x14ac:dyDescent="0.25">
      <c r="A96" s="379">
        <v>1330</v>
      </c>
      <c r="B96" s="381">
        <v>521</v>
      </c>
      <c r="C96" s="381" t="s">
        <v>1664</v>
      </c>
      <c r="D96" s="381">
        <v>10</v>
      </c>
      <c r="E96" s="382">
        <v>219148</v>
      </c>
      <c r="F96" s="381">
        <v>6</v>
      </c>
      <c r="G96" s="383">
        <v>14180.47</v>
      </c>
      <c r="H96" s="383">
        <v>21979.22</v>
      </c>
      <c r="I96" s="381">
        <v>2012</v>
      </c>
      <c r="J96" s="384">
        <v>3</v>
      </c>
    </row>
    <row r="97" spans="1:10" x14ac:dyDescent="0.25">
      <c r="A97" s="379">
        <v>1330</v>
      </c>
      <c r="B97" s="381">
        <v>550</v>
      </c>
      <c r="C97" s="381" t="s">
        <v>1665</v>
      </c>
      <c r="D97" s="381">
        <v>8</v>
      </c>
      <c r="E97" s="382">
        <v>219148</v>
      </c>
      <c r="F97" s="381">
        <v>6</v>
      </c>
      <c r="G97" s="383">
        <v>9464.75</v>
      </c>
      <c r="H97" s="383">
        <v>10590.61</v>
      </c>
      <c r="I97" s="381">
        <v>2013</v>
      </c>
      <c r="J97" s="384">
        <v>3</v>
      </c>
    </row>
    <row r="98" spans="1:10" x14ac:dyDescent="0.25">
      <c r="A98" s="379">
        <v>1501</v>
      </c>
      <c r="B98" s="381">
        <v>372</v>
      </c>
      <c r="C98" s="381" t="s">
        <v>1666</v>
      </c>
      <c r="D98" s="381">
        <v>12</v>
      </c>
      <c r="E98" s="382">
        <v>219148</v>
      </c>
      <c r="F98" s="381">
        <v>6</v>
      </c>
      <c r="G98" s="383">
        <v>18932.53</v>
      </c>
      <c r="H98" s="383">
        <v>41271.17</v>
      </c>
      <c r="I98" s="381">
        <v>2013</v>
      </c>
      <c r="J98" s="384">
        <v>3</v>
      </c>
    </row>
    <row r="99" spans="1:10" x14ac:dyDescent="0.25">
      <c r="A99" s="379">
        <v>1502</v>
      </c>
      <c r="B99" s="381">
        <v>61</v>
      </c>
      <c r="C99" s="381" t="s">
        <v>1667</v>
      </c>
      <c r="D99" s="381">
        <v>1</v>
      </c>
      <c r="E99" s="382">
        <v>219148</v>
      </c>
      <c r="F99" s="381">
        <v>6</v>
      </c>
      <c r="G99" s="383">
        <v>1070.3699999999999</v>
      </c>
      <c r="H99" s="383">
        <v>1918.45</v>
      </c>
      <c r="I99" s="381">
        <v>2013</v>
      </c>
      <c r="J99" s="384">
        <v>3</v>
      </c>
    </row>
    <row r="100" spans="1:10" x14ac:dyDescent="0.25">
      <c r="A100" s="379">
        <v>2000</v>
      </c>
      <c r="B100" s="381">
        <v>213</v>
      </c>
      <c r="C100" s="381" t="s">
        <v>1668</v>
      </c>
      <c r="D100" s="381">
        <v>10</v>
      </c>
      <c r="E100" s="382">
        <v>219148</v>
      </c>
      <c r="F100" s="381">
        <v>6</v>
      </c>
      <c r="G100" s="383">
        <v>11282.9</v>
      </c>
      <c r="H100" s="383">
        <v>16243.97</v>
      </c>
      <c r="I100" s="381">
        <v>2013</v>
      </c>
      <c r="J100" s="384">
        <v>3</v>
      </c>
    </row>
    <row r="101" spans="1:10" x14ac:dyDescent="0.25">
      <c r="A101" s="379">
        <v>2000</v>
      </c>
      <c r="B101" s="381">
        <v>541</v>
      </c>
      <c r="C101" s="381" t="s">
        <v>1669</v>
      </c>
      <c r="D101" s="381">
        <v>1</v>
      </c>
      <c r="E101" s="382">
        <v>41348</v>
      </c>
      <c r="F101" s="381">
        <v>6</v>
      </c>
      <c r="G101" s="383">
        <v>5571.85</v>
      </c>
      <c r="H101" s="383">
        <v>7042.8</v>
      </c>
      <c r="I101" s="381">
        <v>2012</v>
      </c>
      <c r="J101" s="384">
        <v>3</v>
      </c>
    </row>
    <row r="102" spans="1:10" x14ac:dyDescent="0.25">
      <c r="A102" s="379">
        <v>3800</v>
      </c>
      <c r="B102" s="381" t="s">
        <v>1670</v>
      </c>
      <c r="C102" s="381" t="s">
        <v>1671</v>
      </c>
      <c r="D102" s="381">
        <v>1</v>
      </c>
      <c r="E102" s="382">
        <v>219148</v>
      </c>
      <c r="F102" s="381">
        <v>6</v>
      </c>
      <c r="G102" s="383">
        <v>2835.84</v>
      </c>
      <c r="H102" s="383">
        <v>4190.55</v>
      </c>
      <c r="I102" s="381">
        <v>2012</v>
      </c>
      <c r="J102" s="384">
        <v>3</v>
      </c>
    </row>
    <row r="103" spans="1:10" x14ac:dyDescent="0.25">
      <c r="A103" s="379">
        <v>3800</v>
      </c>
      <c r="B103" s="381" t="s">
        <v>1672</v>
      </c>
      <c r="C103" s="381" t="s">
        <v>1673</v>
      </c>
      <c r="D103" s="381">
        <v>1</v>
      </c>
      <c r="E103" s="382">
        <v>219148</v>
      </c>
      <c r="F103" s="381">
        <v>6</v>
      </c>
      <c r="G103" s="383">
        <v>34042.959999999999</v>
      </c>
      <c r="H103" s="383">
        <v>53463.13</v>
      </c>
      <c r="I103" s="381">
        <v>2012</v>
      </c>
      <c r="J103" s="384">
        <v>3</v>
      </c>
    </row>
    <row r="104" spans="1:10" x14ac:dyDescent="0.25">
      <c r="A104" s="379">
        <v>3800</v>
      </c>
      <c r="B104" s="381" t="s">
        <v>1629</v>
      </c>
      <c r="C104" s="381" t="s">
        <v>1630</v>
      </c>
      <c r="D104" s="381">
        <v>15</v>
      </c>
      <c r="E104" s="382">
        <v>219148</v>
      </c>
      <c r="F104" s="381">
        <v>6</v>
      </c>
      <c r="G104" s="383">
        <v>2903.11</v>
      </c>
      <c r="H104" s="383">
        <v>4105.12</v>
      </c>
      <c r="I104" s="381">
        <v>2012</v>
      </c>
      <c r="J104" s="384">
        <v>3</v>
      </c>
    </row>
    <row r="105" spans="1:10" x14ac:dyDescent="0.25">
      <c r="A105" s="379">
        <v>3800</v>
      </c>
      <c r="B105" s="381" t="s">
        <v>1657</v>
      </c>
      <c r="C105" s="381" t="s">
        <v>1658</v>
      </c>
      <c r="D105" s="381">
        <v>15</v>
      </c>
      <c r="E105" s="382">
        <v>219148</v>
      </c>
      <c r="F105" s="381">
        <v>6</v>
      </c>
      <c r="G105" s="383">
        <v>8558.7999999999993</v>
      </c>
      <c r="H105" s="383">
        <v>12577.92</v>
      </c>
      <c r="I105" s="381">
        <v>2013</v>
      </c>
      <c r="J105" s="384">
        <v>3</v>
      </c>
    </row>
    <row r="106" spans="1:10" x14ac:dyDescent="0.25">
      <c r="A106" s="379">
        <v>3800</v>
      </c>
      <c r="B106" s="381" t="s">
        <v>1659</v>
      </c>
      <c r="C106" s="381" t="s">
        <v>1660</v>
      </c>
      <c r="D106" s="381">
        <v>15</v>
      </c>
      <c r="E106" s="382">
        <v>219148</v>
      </c>
      <c r="F106" s="381">
        <v>6</v>
      </c>
      <c r="G106" s="383">
        <v>4485.6400000000003</v>
      </c>
      <c r="H106" s="383">
        <v>6515.49</v>
      </c>
      <c r="I106" s="381">
        <v>2013</v>
      </c>
      <c r="J106" s="384">
        <v>3</v>
      </c>
    </row>
    <row r="107" spans="1:10" x14ac:dyDescent="0.25">
      <c r="A107" s="379">
        <v>4001</v>
      </c>
      <c r="B107" s="381">
        <v>30</v>
      </c>
      <c r="C107" s="381" t="s">
        <v>1674</v>
      </c>
      <c r="D107" s="381">
        <v>1</v>
      </c>
      <c r="E107" s="382">
        <v>219148</v>
      </c>
      <c r="F107" s="381">
        <v>6</v>
      </c>
      <c r="G107" s="383">
        <v>7044.38</v>
      </c>
      <c r="H107" s="383">
        <v>10021.42</v>
      </c>
      <c r="I107" s="381">
        <v>2013</v>
      </c>
      <c r="J107" s="384">
        <v>3</v>
      </c>
    </row>
    <row r="108" spans="1:10" x14ac:dyDescent="0.25">
      <c r="A108" s="379">
        <v>4202</v>
      </c>
      <c r="B108" s="381">
        <v>430</v>
      </c>
      <c r="C108" s="381" t="s">
        <v>1675</v>
      </c>
      <c r="D108" s="381">
        <v>90</v>
      </c>
      <c r="E108" s="382">
        <v>219148</v>
      </c>
      <c r="F108" s="381">
        <v>6</v>
      </c>
      <c r="G108" s="383">
        <v>11787.72</v>
      </c>
      <c r="H108" s="383">
        <v>15418.91</v>
      </c>
      <c r="I108" s="381">
        <v>2012</v>
      </c>
      <c r="J108" s="384">
        <v>3</v>
      </c>
    </row>
    <row r="109" spans="1:10" x14ac:dyDescent="0.25">
      <c r="A109" s="379">
        <v>4202</v>
      </c>
      <c r="B109" s="381">
        <v>430</v>
      </c>
      <c r="C109" s="381" t="s">
        <v>1675</v>
      </c>
      <c r="D109" s="381">
        <v>90</v>
      </c>
      <c r="E109" s="382">
        <v>219148</v>
      </c>
      <c r="F109" s="381">
        <v>6</v>
      </c>
      <c r="G109" s="383">
        <v>4823.58</v>
      </c>
      <c r="H109" s="383">
        <v>6833.99</v>
      </c>
      <c r="I109" s="381">
        <v>2013</v>
      </c>
      <c r="J109" s="384">
        <v>3</v>
      </c>
    </row>
    <row r="110" spans="1:10" x14ac:dyDescent="0.25">
      <c r="A110" s="379">
        <v>6620</v>
      </c>
      <c r="B110" s="381">
        <v>51</v>
      </c>
      <c r="C110" s="381" t="s">
        <v>1676</v>
      </c>
      <c r="D110" s="381">
        <v>12</v>
      </c>
      <c r="E110" s="382">
        <v>219148</v>
      </c>
      <c r="F110" s="381">
        <v>6</v>
      </c>
      <c r="G110" s="383">
        <v>26884.23</v>
      </c>
      <c r="H110" s="383">
        <v>30181.66</v>
      </c>
      <c r="I110" s="381">
        <v>2013</v>
      </c>
      <c r="J110" s="384">
        <v>3</v>
      </c>
    </row>
    <row r="111" spans="1:10" x14ac:dyDescent="0.25">
      <c r="A111" s="379">
        <v>8001</v>
      </c>
      <c r="B111" s="381">
        <v>71</v>
      </c>
      <c r="C111" s="381" t="s">
        <v>1677</v>
      </c>
      <c r="D111" s="381">
        <v>12</v>
      </c>
      <c r="E111" s="382">
        <v>219148</v>
      </c>
      <c r="F111" s="381">
        <v>6</v>
      </c>
      <c r="G111" s="383">
        <v>42784.39</v>
      </c>
      <c r="H111" s="383">
        <v>60029.279999999999</v>
      </c>
      <c r="I111" s="381">
        <v>2013</v>
      </c>
      <c r="J111" s="384">
        <v>3</v>
      </c>
    </row>
    <row r="112" spans="1:10" x14ac:dyDescent="0.25">
      <c r="A112" s="379">
        <v>1301</v>
      </c>
      <c r="B112" s="381">
        <v>254</v>
      </c>
      <c r="C112" s="381" t="s">
        <v>1678</v>
      </c>
      <c r="D112" s="381">
        <v>42</v>
      </c>
      <c r="E112" s="382">
        <v>219148</v>
      </c>
      <c r="F112" s="381">
        <v>6</v>
      </c>
      <c r="G112" s="383">
        <v>6317.16</v>
      </c>
      <c r="H112" s="383">
        <v>8518.1</v>
      </c>
      <c r="I112" s="381">
        <v>2013</v>
      </c>
      <c r="J112" s="384">
        <v>2</v>
      </c>
    </row>
    <row r="113" spans="1:10" x14ac:dyDescent="0.25">
      <c r="A113" s="379">
        <v>1309</v>
      </c>
      <c r="B113" s="381">
        <v>530</v>
      </c>
      <c r="C113" s="381" t="s">
        <v>1679</v>
      </c>
      <c r="D113" s="381">
        <v>1</v>
      </c>
      <c r="E113" s="382">
        <v>219148</v>
      </c>
      <c r="F113" s="381">
        <v>6</v>
      </c>
      <c r="G113" s="383">
        <v>10486.26</v>
      </c>
      <c r="H113" s="383">
        <v>12815.91</v>
      </c>
      <c r="I113" s="381">
        <v>2012</v>
      </c>
      <c r="J113" s="384">
        <v>2</v>
      </c>
    </row>
    <row r="114" spans="1:10" x14ac:dyDescent="0.25">
      <c r="A114" s="379">
        <v>1309</v>
      </c>
      <c r="B114" s="381">
        <v>530</v>
      </c>
      <c r="C114" s="381" t="s">
        <v>1679</v>
      </c>
      <c r="D114" s="381">
        <v>1</v>
      </c>
      <c r="E114" s="382">
        <v>219148</v>
      </c>
      <c r="F114" s="381">
        <v>6</v>
      </c>
      <c r="G114" s="383">
        <v>6562.87</v>
      </c>
      <c r="H114" s="383">
        <v>7720.84</v>
      </c>
      <c r="I114" s="381">
        <v>2013</v>
      </c>
      <c r="J114" s="384">
        <v>2</v>
      </c>
    </row>
    <row r="115" spans="1:10" x14ac:dyDescent="0.25">
      <c r="A115" s="379">
        <v>1330</v>
      </c>
      <c r="B115" s="381">
        <v>550</v>
      </c>
      <c r="C115" s="381" t="s">
        <v>1665</v>
      </c>
      <c r="D115" s="381">
        <v>8</v>
      </c>
      <c r="E115" s="382">
        <v>219148</v>
      </c>
      <c r="F115" s="381">
        <v>6</v>
      </c>
      <c r="G115" s="383">
        <v>3127.77</v>
      </c>
      <c r="H115" s="383">
        <v>4060.02</v>
      </c>
      <c r="I115" s="381">
        <v>2012</v>
      </c>
      <c r="J115" s="384">
        <v>2</v>
      </c>
    </row>
    <row r="116" spans="1:10" x14ac:dyDescent="0.25">
      <c r="A116" s="379">
        <v>1330</v>
      </c>
      <c r="B116" s="381">
        <v>580</v>
      </c>
      <c r="C116" s="381" t="s">
        <v>1649</v>
      </c>
      <c r="D116" s="381">
        <v>5</v>
      </c>
      <c r="E116" s="382">
        <v>219148</v>
      </c>
      <c r="F116" s="381">
        <v>6</v>
      </c>
      <c r="G116" s="383">
        <v>5302.17</v>
      </c>
      <c r="H116" s="383">
        <v>7334.59</v>
      </c>
      <c r="I116" s="381">
        <v>2012</v>
      </c>
      <c r="J116" s="384">
        <v>2</v>
      </c>
    </row>
    <row r="117" spans="1:10" x14ac:dyDescent="0.25">
      <c r="A117" s="379">
        <v>1351</v>
      </c>
      <c r="B117" s="381">
        <v>280</v>
      </c>
      <c r="C117" s="381" t="s">
        <v>1680</v>
      </c>
      <c r="D117" s="381">
        <v>9</v>
      </c>
      <c r="E117" s="382">
        <v>219148</v>
      </c>
      <c r="F117" s="381">
        <v>6</v>
      </c>
      <c r="G117" s="383">
        <v>8003.76</v>
      </c>
      <c r="H117" s="383">
        <v>8577.59</v>
      </c>
      <c r="I117" s="381">
        <v>2013</v>
      </c>
      <c r="J117" s="384">
        <v>2</v>
      </c>
    </row>
    <row r="118" spans="1:10" x14ac:dyDescent="0.25">
      <c r="A118" s="379">
        <v>1351</v>
      </c>
      <c r="B118" s="381">
        <v>400</v>
      </c>
      <c r="C118" s="381" t="s">
        <v>1656</v>
      </c>
      <c r="D118" s="381">
        <v>99</v>
      </c>
      <c r="E118" s="382">
        <v>219148</v>
      </c>
      <c r="F118" s="381">
        <v>6</v>
      </c>
      <c r="G118" s="383">
        <v>7688.33</v>
      </c>
      <c r="H118" s="383">
        <v>9027.86</v>
      </c>
      <c r="I118" s="381">
        <v>2013</v>
      </c>
      <c r="J118" s="384">
        <v>2</v>
      </c>
    </row>
    <row r="119" spans="1:10" x14ac:dyDescent="0.25">
      <c r="A119" s="379">
        <v>1401</v>
      </c>
      <c r="B119" s="381">
        <v>292</v>
      </c>
      <c r="C119" s="381" t="s">
        <v>1681</v>
      </c>
      <c r="D119" s="381">
        <v>1</v>
      </c>
      <c r="E119" s="382">
        <v>219148</v>
      </c>
      <c r="F119" s="381">
        <v>6</v>
      </c>
      <c r="G119" s="383">
        <v>23749.95</v>
      </c>
      <c r="H119" s="383">
        <v>32352.43</v>
      </c>
      <c r="I119" s="381">
        <v>2012</v>
      </c>
      <c r="J119" s="384">
        <v>2</v>
      </c>
    </row>
    <row r="120" spans="1:10" x14ac:dyDescent="0.25">
      <c r="A120" s="379">
        <v>1401</v>
      </c>
      <c r="B120" s="381">
        <v>293</v>
      </c>
      <c r="C120" s="381" t="s">
        <v>1682</v>
      </c>
      <c r="D120" s="381">
        <v>1</v>
      </c>
      <c r="E120" s="382">
        <v>219148</v>
      </c>
      <c r="F120" s="381">
        <v>6</v>
      </c>
      <c r="G120" s="383">
        <v>5306.76</v>
      </c>
      <c r="H120" s="383">
        <v>6096.42</v>
      </c>
      <c r="I120" s="381">
        <v>2013</v>
      </c>
      <c r="J120" s="384">
        <v>2</v>
      </c>
    </row>
    <row r="121" spans="1:10" x14ac:dyDescent="0.25">
      <c r="A121" s="379">
        <v>1501</v>
      </c>
      <c r="B121" s="381" t="s">
        <v>1683</v>
      </c>
      <c r="C121" s="381" t="s">
        <v>1684</v>
      </c>
      <c r="D121" s="381">
        <v>42</v>
      </c>
      <c r="E121" s="382">
        <v>219148</v>
      </c>
      <c r="F121" s="381">
        <v>6</v>
      </c>
      <c r="G121" s="383">
        <v>11247.99</v>
      </c>
      <c r="H121" s="383">
        <v>18164.669999999998</v>
      </c>
      <c r="I121" s="381">
        <v>2012</v>
      </c>
      <c r="J121" s="384">
        <v>2</v>
      </c>
    </row>
    <row r="122" spans="1:10" x14ac:dyDescent="0.25">
      <c r="A122" s="379">
        <v>1516</v>
      </c>
      <c r="B122" s="381">
        <v>390</v>
      </c>
      <c r="C122" s="381" t="s">
        <v>1646</v>
      </c>
      <c r="D122" s="381">
        <v>8</v>
      </c>
      <c r="E122" s="382">
        <v>219148</v>
      </c>
      <c r="F122" s="381">
        <v>6</v>
      </c>
      <c r="G122" s="383">
        <v>6669.03</v>
      </c>
      <c r="H122" s="383">
        <v>8624.11</v>
      </c>
      <c r="I122" s="381">
        <v>2012</v>
      </c>
      <c r="J122" s="384">
        <v>2</v>
      </c>
    </row>
    <row r="123" spans="1:10" x14ac:dyDescent="0.25">
      <c r="A123" s="379">
        <v>2000</v>
      </c>
      <c r="B123" s="381">
        <v>273</v>
      </c>
      <c r="C123" s="381" t="s">
        <v>1685</v>
      </c>
      <c r="D123" s="381">
        <v>6</v>
      </c>
      <c r="E123" s="382">
        <v>219148</v>
      </c>
      <c r="F123" s="381">
        <v>6</v>
      </c>
      <c r="G123" s="383">
        <v>19079.04</v>
      </c>
      <c r="H123" s="383">
        <v>26592.37</v>
      </c>
      <c r="I123" s="381">
        <v>2013</v>
      </c>
      <c r="J123" s="384">
        <v>2</v>
      </c>
    </row>
    <row r="124" spans="1:10" x14ac:dyDescent="0.25">
      <c r="A124" s="379">
        <v>3800</v>
      </c>
      <c r="B124" s="381" t="s">
        <v>1670</v>
      </c>
      <c r="C124" s="381" t="s">
        <v>1671</v>
      </c>
      <c r="D124" s="381">
        <v>1</v>
      </c>
      <c r="E124" s="382">
        <v>219148</v>
      </c>
      <c r="F124" s="381">
        <v>6</v>
      </c>
      <c r="G124" s="383">
        <v>20716.09</v>
      </c>
      <c r="H124" s="383">
        <v>30164.98</v>
      </c>
      <c r="I124" s="381">
        <v>2013</v>
      </c>
      <c r="J124" s="384">
        <v>2</v>
      </c>
    </row>
    <row r="125" spans="1:10" x14ac:dyDescent="0.25">
      <c r="A125" s="379">
        <v>3800</v>
      </c>
      <c r="B125" s="381" t="s">
        <v>1686</v>
      </c>
      <c r="C125" s="381" t="s">
        <v>1687</v>
      </c>
      <c r="D125" s="381">
        <v>1</v>
      </c>
      <c r="E125" s="382">
        <v>219148</v>
      </c>
      <c r="F125" s="381">
        <v>6</v>
      </c>
      <c r="G125" s="383">
        <v>7242.34</v>
      </c>
      <c r="H125" s="383">
        <v>10601.57</v>
      </c>
      <c r="I125" s="381">
        <v>2012</v>
      </c>
      <c r="J125" s="384">
        <v>2</v>
      </c>
    </row>
    <row r="126" spans="1:10" x14ac:dyDescent="0.25">
      <c r="A126" s="379">
        <v>5004</v>
      </c>
      <c r="B126" s="381">
        <v>40</v>
      </c>
      <c r="C126" s="381" t="s">
        <v>1600</v>
      </c>
      <c r="D126" s="381">
        <v>42</v>
      </c>
      <c r="E126" s="382">
        <v>219148</v>
      </c>
      <c r="F126" s="381">
        <v>6</v>
      </c>
      <c r="G126" s="383">
        <v>12641.56</v>
      </c>
      <c r="H126" s="383">
        <v>23998.16</v>
      </c>
      <c r="I126" s="381">
        <v>2012</v>
      </c>
      <c r="J126" s="384">
        <v>2</v>
      </c>
    </row>
    <row r="127" spans="1:10" x14ac:dyDescent="0.25">
      <c r="A127" s="379">
        <v>5501</v>
      </c>
      <c r="B127" s="381" t="s">
        <v>1688</v>
      </c>
      <c r="C127" s="381" t="s">
        <v>1689</v>
      </c>
      <c r="D127" s="381">
        <v>1</v>
      </c>
      <c r="E127" s="382">
        <v>219148</v>
      </c>
      <c r="F127" s="381">
        <v>6</v>
      </c>
      <c r="G127" s="383">
        <v>8120.42</v>
      </c>
      <c r="H127" s="383">
        <v>10696.02</v>
      </c>
      <c r="I127" s="381">
        <v>2013</v>
      </c>
      <c r="J127" s="384">
        <v>2</v>
      </c>
    </row>
    <row r="128" spans="1:10" x14ac:dyDescent="0.25">
      <c r="A128" s="379">
        <v>6006</v>
      </c>
      <c r="B128" s="381">
        <v>181</v>
      </c>
      <c r="C128" s="381" t="s">
        <v>1690</v>
      </c>
      <c r="D128" s="381">
        <v>1</v>
      </c>
      <c r="E128" s="382">
        <v>219148</v>
      </c>
      <c r="F128" s="381">
        <v>6</v>
      </c>
      <c r="G128" s="383">
        <v>4747.93</v>
      </c>
      <c r="H128" s="383">
        <v>6466.09</v>
      </c>
      <c r="I128" s="381">
        <v>2013</v>
      </c>
      <c r="J128" s="384">
        <v>2</v>
      </c>
    </row>
    <row r="129" spans="1:10" x14ac:dyDescent="0.25">
      <c r="A129" s="379">
        <v>6007</v>
      </c>
      <c r="B129" s="381">
        <v>50</v>
      </c>
      <c r="C129" s="381" t="s">
        <v>1691</v>
      </c>
      <c r="D129" s="381">
        <v>1</v>
      </c>
      <c r="E129" s="382">
        <v>219148</v>
      </c>
      <c r="F129" s="381">
        <v>6</v>
      </c>
      <c r="G129" s="383">
        <v>25823.67</v>
      </c>
      <c r="H129" s="383">
        <v>46559.25</v>
      </c>
      <c r="I129" s="381">
        <v>2012</v>
      </c>
      <c r="J129" s="384">
        <v>2</v>
      </c>
    </row>
    <row r="130" spans="1:10" x14ac:dyDescent="0.25">
      <c r="A130" s="379">
        <v>6620</v>
      </c>
      <c r="B130" s="381">
        <v>71</v>
      </c>
      <c r="C130" s="381" t="s">
        <v>1652</v>
      </c>
      <c r="D130" s="381">
        <v>8</v>
      </c>
      <c r="E130" s="382">
        <v>219148</v>
      </c>
      <c r="F130" s="381">
        <v>6</v>
      </c>
      <c r="G130" s="383">
        <v>7111.79</v>
      </c>
      <c r="H130" s="383">
        <v>9650.85</v>
      </c>
      <c r="I130" s="381">
        <v>2012</v>
      </c>
      <c r="J130" s="384">
        <v>2</v>
      </c>
    </row>
    <row r="131" spans="1:10" x14ac:dyDescent="0.25">
      <c r="A131" s="379">
        <v>6620</v>
      </c>
      <c r="B131" s="381" t="s">
        <v>1692</v>
      </c>
      <c r="C131" s="381" t="s">
        <v>1693</v>
      </c>
      <c r="D131" s="381">
        <v>42</v>
      </c>
      <c r="E131" s="382">
        <v>219148</v>
      </c>
      <c r="F131" s="381">
        <v>6</v>
      </c>
      <c r="G131" s="383">
        <v>8201.8700000000008</v>
      </c>
      <c r="H131" s="383">
        <v>11567.03</v>
      </c>
      <c r="I131" s="381">
        <v>2012</v>
      </c>
      <c r="J131" s="384">
        <v>2</v>
      </c>
    </row>
    <row r="132" spans="1:10" x14ac:dyDescent="0.25">
      <c r="A132" s="379">
        <v>6620</v>
      </c>
      <c r="B132" s="381" t="s">
        <v>1694</v>
      </c>
      <c r="C132" s="381" t="s">
        <v>1695</v>
      </c>
      <c r="D132" s="381">
        <v>42</v>
      </c>
      <c r="E132" s="382">
        <v>219148</v>
      </c>
      <c r="F132" s="381">
        <v>6</v>
      </c>
      <c r="G132" s="383">
        <v>10654.73</v>
      </c>
      <c r="H132" s="383">
        <v>13845.75</v>
      </c>
      <c r="I132" s="381">
        <v>2013</v>
      </c>
      <c r="J132" s="384">
        <v>2</v>
      </c>
    </row>
    <row r="133" spans="1:10" x14ac:dyDescent="0.25">
      <c r="A133" s="379">
        <v>6650</v>
      </c>
      <c r="B133" s="381">
        <v>202</v>
      </c>
      <c r="C133" s="381" t="s">
        <v>1663</v>
      </c>
      <c r="D133" s="381">
        <v>99</v>
      </c>
      <c r="E133" s="382">
        <v>219148</v>
      </c>
      <c r="F133" s="381">
        <v>6</v>
      </c>
      <c r="G133" s="383">
        <v>10657.89</v>
      </c>
      <c r="H133" s="383">
        <v>13862.45</v>
      </c>
      <c r="I133" s="381">
        <v>2013</v>
      </c>
      <c r="J133" s="384">
        <v>2</v>
      </c>
    </row>
    <row r="134" spans="1:10" x14ac:dyDescent="0.25">
      <c r="A134" s="379">
        <v>6650</v>
      </c>
      <c r="B134" s="381">
        <v>331</v>
      </c>
      <c r="C134" s="381" t="s">
        <v>1583</v>
      </c>
      <c r="D134" s="381">
        <v>1</v>
      </c>
      <c r="E134" s="382">
        <v>219148</v>
      </c>
      <c r="F134" s="381">
        <v>6</v>
      </c>
      <c r="G134" s="383">
        <v>9019.49</v>
      </c>
      <c r="H134" s="383">
        <v>12434.29</v>
      </c>
      <c r="I134" s="381">
        <v>2013</v>
      </c>
      <c r="J134" s="384">
        <v>2</v>
      </c>
    </row>
    <row r="135" spans="1:10" x14ac:dyDescent="0.25">
      <c r="A135" s="379">
        <v>7603</v>
      </c>
      <c r="B135" s="381">
        <v>41</v>
      </c>
      <c r="C135" s="381" t="s">
        <v>1696</v>
      </c>
      <c r="D135" s="381">
        <v>1</v>
      </c>
      <c r="E135" s="382">
        <v>219148</v>
      </c>
      <c r="F135" s="381">
        <v>6</v>
      </c>
      <c r="G135" s="383">
        <v>3311.62</v>
      </c>
      <c r="H135" s="383">
        <v>4838</v>
      </c>
      <c r="I135" s="381">
        <v>2012</v>
      </c>
      <c r="J135" s="384">
        <v>2</v>
      </c>
    </row>
    <row r="136" spans="1:10" x14ac:dyDescent="0.25">
      <c r="A136" s="379">
        <v>8001</v>
      </c>
      <c r="B136" s="381">
        <v>91</v>
      </c>
      <c r="C136" s="381" t="s">
        <v>1697</v>
      </c>
      <c r="D136" s="381">
        <v>8</v>
      </c>
      <c r="E136" s="382">
        <v>219148</v>
      </c>
      <c r="F136" s="381">
        <v>6</v>
      </c>
      <c r="G136" s="383">
        <v>37114.910000000003</v>
      </c>
      <c r="H136" s="383">
        <v>55723.82</v>
      </c>
      <c r="I136" s="381">
        <v>2013</v>
      </c>
      <c r="J136" s="384">
        <v>2</v>
      </c>
    </row>
    <row r="137" spans="1:10" x14ac:dyDescent="0.25">
      <c r="A137" s="379">
        <v>8001</v>
      </c>
      <c r="B137" s="381">
        <v>101</v>
      </c>
      <c r="C137" s="381" t="s">
        <v>1698</v>
      </c>
      <c r="D137" s="381">
        <v>4</v>
      </c>
      <c r="E137" s="382">
        <v>219148</v>
      </c>
      <c r="F137" s="381">
        <v>6</v>
      </c>
      <c r="G137" s="383">
        <v>5523.78</v>
      </c>
      <c r="H137" s="383">
        <v>7470.3</v>
      </c>
      <c r="I137" s="381">
        <v>2013</v>
      </c>
      <c r="J137" s="384">
        <v>2</v>
      </c>
    </row>
    <row r="138" spans="1:10" x14ac:dyDescent="0.25">
      <c r="A138" s="379">
        <v>8001</v>
      </c>
      <c r="B138" s="381">
        <v>531</v>
      </c>
      <c r="C138" s="381" t="s">
        <v>1643</v>
      </c>
      <c r="D138" s="381">
        <v>42</v>
      </c>
      <c r="E138" s="382">
        <v>219148</v>
      </c>
      <c r="F138" s="381">
        <v>6</v>
      </c>
      <c r="G138" s="383">
        <v>10842.85</v>
      </c>
      <c r="H138" s="383">
        <v>17971.82</v>
      </c>
      <c r="I138" s="381">
        <v>2012</v>
      </c>
      <c r="J138" s="384">
        <v>2</v>
      </c>
    </row>
    <row r="139" spans="1:10" x14ac:dyDescent="0.25">
      <c r="A139" s="379">
        <v>8005</v>
      </c>
      <c r="B139" s="381">
        <v>31</v>
      </c>
      <c r="C139" s="381" t="s">
        <v>1699</v>
      </c>
      <c r="D139" s="381">
        <v>1</v>
      </c>
      <c r="E139" s="382">
        <v>219148</v>
      </c>
      <c r="F139" s="381">
        <v>6</v>
      </c>
      <c r="G139" s="383">
        <v>33163.379999999997</v>
      </c>
      <c r="H139" s="383">
        <v>46932.75</v>
      </c>
      <c r="I139" s="381">
        <v>2012</v>
      </c>
      <c r="J139" s="384">
        <v>2</v>
      </c>
    </row>
    <row r="140" spans="1:10" x14ac:dyDescent="0.25">
      <c r="A140" s="379">
        <v>8005</v>
      </c>
      <c r="B140" s="381">
        <v>32</v>
      </c>
      <c r="C140" s="381" t="s">
        <v>1700</v>
      </c>
      <c r="D140" s="381">
        <v>1</v>
      </c>
      <c r="E140" s="382">
        <v>219148</v>
      </c>
      <c r="F140" s="381">
        <v>6</v>
      </c>
      <c r="G140" s="383">
        <v>18779.8</v>
      </c>
      <c r="H140" s="383">
        <v>25289.46</v>
      </c>
      <c r="I140" s="381">
        <v>2012</v>
      </c>
      <c r="J140" s="384">
        <v>2</v>
      </c>
    </row>
    <row r="141" spans="1:10" x14ac:dyDescent="0.25">
      <c r="A141" s="379">
        <v>8005</v>
      </c>
      <c r="B141" s="381">
        <v>461</v>
      </c>
      <c r="C141" s="381" t="s">
        <v>1654</v>
      </c>
      <c r="D141" s="381">
        <v>1</v>
      </c>
      <c r="E141" s="382">
        <v>219148</v>
      </c>
      <c r="F141" s="381">
        <v>6</v>
      </c>
      <c r="G141" s="383">
        <v>2680.5</v>
      </c>
      <c r="H141" s="383">
        <v>3692.17</v>
      </c>
      <c r="I141" s="381">
        <v>2013</v>
      </c>
      <c r="J141" s="384">
        <v>2</v>
      </c>
    </row>
    <row r="142" spans="1:10" x14ac:dyDescent="0.25">
      <c r="A142" s="379">
        <v>1301</v>
      </c>
      <c r="B142" s="381">
        <v>250</v>
      </c>
      <c r="C142" s="381" t="s">
        <v>1701</v>
      </c>
      <c r="D142" s="381">
        <v>42</v>
      </c>
      <c r="E142" s="382">
        <v>219148</v>
      </c>
      <c r="F142" s="381">
        <v>6</v>
      </c>
      <c r="G142" s="383">
        <v>9743.99</v>
      </c>
      <c r="H142" s="383">
        <v>13212.25</v>
      </c>
      <c r="I142" s="381">
        <v>2012</v>
      </c>
      <c r="J142" s="384">
        <v>1</v>
      </c>
    </row>
    <row r="143" spans="1:10" x14ac:dyDescent="0.25">
      <c r="A143" s="379">
        <v>1301</v>
      </c>
      <c r="B143" s="381">
        <v>252</v>
      </c>
      <c r="C143" s="381" t="s">
        <v>1702</v>
      </c>
      <c r="D143" s="381">
        <v>42</v>
      </c>
      <c r="E143" s="382">
        <v>219148</v>
      </c>
      <c r="F143" s="381">
        <v>6</v>
      </c>
      <c r="G143" s="383">
        <v>9000.58</v>
      </c>
      <c r="H143" s="383">
        <v>13225.9</v>
      </c>
      <c r="I143" s="381">
        <v>2013</v>
      </c>
      <c r="J143" s="384">
        <v>1</v>
      </c>
    </row>
    <row r="144" spans="1:10" x14ac:dyDescent="0.25">
      <c r="A144" s="379">
        <v>1301</v>
      </c>
      <c r="B144" s="381" t="s">
        <v>1703</v>
      </c>
      <c r="C144" s="381" t="s">
        <v>1704</v>
      </c>
      <c r="D144" s="381">
        <v>42</v>
      </c>
      <c r="E144" s="382">
        <v>219148</v>
      </c>
      <c r="F144" s="381">
        <v>6</v>
      </c>
      <c r="G144" s="383">
        <v>8970.83</v>
      </c>
      <c r="H144" s="383">
        <v>12176.93</v>
      </c>
      <c r="I144" s="381">
        <v>2013</v>
      </c>
      <c r="J144" s="384">
        <v>1</v>
      </c>
    </row>
    <row r="145" spans="1:10" x14ac:dyDescent="0.25">
      <c r="A145" s="379">
        <v>1309</v>
      </c>
      <c r="B145" s="381">
        <v>380</v>
      </c>
      <c r="C145" s="381" t="s">
        <v>1705</v>
      </c>
      <c r="D145" s="381">
        <v>1</v>
      </c>
      <c r="E145" s="382">
        <v>219148</v>
      </c>
      <c r="F145" s="381">
        <v>6</v>
      </c>
      <c r="G145" s="383">
        <v>13881.35</v>
      </c>
      <c r="H145" s="383">
        <v>16670.43</v>
      </c>
      <c r="I145" s="381">
        <v>2012</v>
      </c>
      <c r="J145" s="384">
        <v>1</v>
      </c>
    </row>
    <row r="146" spans="1:10" x14ac:dyDescent="0.25">
      <c r="A146" s="379">
        <v>1309</v>
      </c>
      <c r="B146" s="381">
        <v>380</v>
      </c>
      <c r="C146" s="381" t="s">
        <v>1705</v>
      </c>
      <c r="D146" s="381">
        <v>1</v>
      </c>
      <c r="E146" s="382">
        <v>219148</v>
      </c>
      <c r="F146" s="381">
        <v>6</v>
      </c>
      <c r="G146" s="383">
        <v>16227.66</v>
      </c>
      <c r="H146" s="383">
        <v>18770.96</v>
      </c>
      <c r="I146" s="381">
        <v>2013</v>
      </c>
      <c r="J146" s="384">
        <v>1</v>
      </c>
    </row>
    <row r="147" spans="1:10" x14ac:dyDescent="0.25">
      <c r="A147" s="379">
        <v>1309</v>
      </c>
      <c r="B147" s="381">
        <v>620</v>
      </c>
      <c r="C147" s="381" t="s">
        <v>1706</v>
      </c>
      <c r="D147" s="381">
        <v>1</v>
      </c>
      <c r="E147" s="382">
        <v>219148</v>
      </c>
      <c r="F147" s="381">
        <v>6</v>
      </c>
      <c r="G147" s="383">
        <v>12060.45</v>
      </c>
      <c r="H147" s="383">
        <v>14704.64</v>
      </c>
      <c r="I147" s="381">
        <v>2012</v>
      </c>
      <c r="J147" s="384">
        <v>1</v>
      </c>
    </row>
    <row r="148" spans="1:10" x14ac:dyDescent="0.25">
      <c r="A148" s="379">
        <v>1330</v>
      </c>
      <c r="B148" s="381" t="s">
        <v>1707</v>
      </c>
      <c r="C148" s="381" t="s">
        <v>1708</v>
      </c>
      <c r="D148" s="381">
        <v>9</v>
      </c>
      <c r="E148" s="382">
        <v>219148</v>
      </c>
      <c r="F148" s="381">
        <v>6</v>
      </c>
      <c r="G148" s="383">
        <v>5350.46</v>
      </c>
      <c r="H148" s="383">
        <v>11899.52</v>
      </c>
      <c r="I148" s="381">
        <v>2013</v>
      </c>
      <c r="J148" s="384">
        <v>1</v>
      </c>
    </row>
    <row r="149" spans="1:10" x14ac:dyDescent="0.25">
      <c r="A149" s="379">
        <v>1330</v>
      </c>
      <c r="B149" s="381">
        <v>601</v>
      </c>
      <c r="C149" s="381" t="s">
        <v>1570</v>
      </c>
      <c r="D149" s="381">
        <v>80</v>
      </c>
      <c r="E149" s="382">
        <v>219148</v>
      </c>
      <c r="F149" s="381">
        <v>6</v>
      </c>
      <c r="G149" s="383">
        <v>10105.64</v>
      </c>
      <c r="H149" s="383">
        <v>14788.04</v>
      </c>
      <c r="I149" s="381">
        <v>2012</v>
      </c>
      <c r="J149" s="384">
        <v>1</v>
      </c>
    </row>
    <row r="150" spans="1:10" x14ac:dyDescent="0.25">
      <c r="A150" s="379">
        <v>1351</v>
      </c>
      <c r="B150" s="381">
        <v>50</v>
      </c>
      <c r="C150" s="381" t="s">
        <v>1709</v>
      </c>
      <c r="D150" s="381">
        <v>6</v>
      </c>
      <c r="E150" s="382">
        <v>219148</v>
      </c>
      <c r="F150" s="381">
        <v>6</v>
      </c>
      <c r="G150" s="383">
        <v>47621.88</v>
      </c>
      <c r="H150" s="383">
        <v>50964.4</v>
      </c>
      <c r="I150" s="381">
        <v>2013</v>
      </c>
      <c r="J150" s="384">
        <v>1</v>
      </c>
    </row>
    <row r="151" spans="1:10" x14ac:dyDescent="0.25">
      <c r="A151" s="379">
        <v>1351</v>
      </c>
      <c r="B151" s="381">
        <v>80</v>
      </c>
      <c r="C151" s="381" t="s">
        <v>1710</v>
      </c>
      <c r="D151" s="381">
        <v>2</v>
      </c>
      <c r="E151" s="381" t="s">
        <v>1711</v>
      </c>
      <c r="F151" s="381">
        <v>6</v>
      </c>
      <c r="G151" s="383">
        <v>16658.689999999999</v>
      </c>
      <c r="H151" s="383">
        <v>28767.040000000001</v>
      </c>
      <c r="I151" s="381">
        <v>2012</v>
      </c>
      <c r="J151" s="384">
        <v>1</v>
      </c>
    </row>
    <row r="152" spans="1:10" x14ac:dyDescent="0.25">
      <c r="A152" s="379">
        <v>1401</v>
      </c>
      <c r="B152" s="381">
        <v>232</v>
      </c>
      <c r="C152" s="381" t="s">
        <v>1712</v>
      </c>
      <c r="D152" s="381">
        <v>12</v>
      </c>
      <c r="E152" s="382">
        <v>219148</v>
      </c>
      <c r="F152" s="381">
        <v>6</v>
      </c>
      <c r="G152" s="383">
        <v>23808.959999999999</v>
      </c>
      <c r="H152" s="383">
        <v>29407.919999999998</v>
      </c>
      <c r="I152" s="381">
        <v>2012</v>
      </c>
      <c r="J152" s="384">
        <v>1</v>
      </c>
    </row>
    <row r="153" spans="1:10" x14ac:dyDescent="0.25">
      <c r="A153" s="379">
        <v>1401</v>
      </c>
      <c r="B153" s="381">
        <v>232</v>
      </c>
      <c r="C153" s="381" t="s">
        <v>1712</v>
      </c>
      <c r="D153" s="381">
        <v>12</v>
      </c>
      <c r="E153" s="382">
        <v>219148</v>
      </c>
      <c r="F153" s="381">
        <v>6</v>
      </c>
      <c r="G153" s="383">
        <v>12533.16</v>
      </c>
      <c r="H153" s="383">
        <v>15245.07</v>
      </c>
      <c r="I153" s="381">
        <v>2013</v>
      </c>
      <c r="J153" s="384">
        <v>1</v>
      </c>
    </row>
    <row r="154" spans="1:10" x14ac:dyDescent="0.25">
      <c r="A154" s="379">
        <v>1501</v>
      </c>
      <c r="B154" s="381">
        <v>372</v>
      </c>
      <c r="C154" s="381" t="s">
        <v>1666</v>
      </c>
      <c r="D154" s="381">
        <v>12</v>
      </c>
      <c r="E154" s="382">
        <v>219148</v>
      </c>
      <c r="F154" s="381">
        <v>6</v>
      </c>
      <c r="G154" s="383">
        <v>22958.33</v>
      </c>
      <c r="H154" s="383">
        <v>37610.19</v>
      </c>
      <c r="I154" s="381">
        <v>2012</v>
      </c>
      <c r="J154" s="384">
        <v>1</v>
      </c>
    </row>
    <row r="155" spans="1:10" x14ac:dyDescent="0.25">
      <c r="A155" s="379">
        <v>1502</v>
      </c>
      <c r="B155" s="381">
        <v>61</v>
      </c>
      <c r="C155" s="381" t="s">
        <v>1667</v>
      </c>
      <c r="D155" s="381">
        <v>1</v>
      </c>
      <c r="E155" s="382">
        <v>219148</v>
      </c>
      <c r="F155" s="381">
        <v>6</v>
      </c>
      <c r="G155" s="383">
        <v>5425.27</v>
      </c>
      <c r="H155" s="383">
        <v>6734.57</v>
      </c>
      <c r="I155" s="381">
        <v>2012</v>
      </c>
      <c r="J155" s="384">
        <v>1</v>
      </c>
    </row>
    <row r="156" spans="1:10" x14ac:dyDescent="0.25">
      <c r="A156" s="379">
        <v>1516</v>
      </c>
      <c r="B156" s="381">
        <v>90</v>
      </c>
      <c r="C156" s="381" t="s">
        <v>1713</v>
      </c>
      <c r="D156" s="381">
        <v>11</v>
      </c>
      <c r="E156" s="382">
        <v>219148</v>
      </c>
      <c r="F156" s="381">
        <v>6</v>
      </c>
      <c r="G156" s="383">
        <v>10219.959999999999</v>
      </c>
      <c r="H156" s="383">
        <v>15431.41</v>
      </c>
      <c r="I156" s="381">
        <v>2013</v>
      </c>
      <c r="J156" s="384">
        <v>1</v>
      </c>
    </row>
    <row r="157" spans="1:10" x14ac:dyDescent="0.25">
      <c r="A157" s="379">
        <v>1516</v>
      </c>
      <c r="B157" s="381">
        <v>380</v>
      </c>
      <c r="C157" s="381" t="s">
        <v>1573</v>
      </c>
      <c r="D157" s="381">
        <v>20</v>
      </c>
      <c r="E157" s="382">
        <v>219148</v>
      </c>
      <c r="F157" s="381">
        <v>6</v>
      </c>
      <c r="G157" s="383">
        <v>11243.5</v>
      </c>
      <c r="H157" s="383">
        <v>13487.33</v>
      </c>
      <c r="I157" s="381">
        <v>2013</v>
      </c>
      <c r="J157" s="384">
        <v>1</v>
      </c>
    </row>
    <row r="158" spans="1:10" x14ac:dyDescent="0.25">
      <c r="A158" s="379">
        <v>2000</v>
      </c>
      <c r="B158" s="381">
        <v>211</v>
      </c>
      <c r="C158" s="381" t="s">
        <v>1647</v>
      </c>
      <c r="D158" s="381">
        <v>10</v>
      </c>
      <c r="E158" s="382">
        <v>219148</v>
      </c>
      <c r="F158" s="381">
        <v>6</v>
      </c>
      <c r="G158" s="383">
        <v>8470.73</v>
      </c>
      <c r="H158" s="383">
        <v>10875.26</v>
      </c>
      <c r="I158" s="381">
        <v>2013</v>
      </c>
      <c r="J158" s="384">
        <v>1</v>
      </c>
    </row>
    <row r="159" spans="1:10" x14ac:dyDescent="0.25">
      <c r="A159" s="379">
        <v>2000</v>
      </c>
      <c r="B159" s="381">
        <v>271</v>
      </c>
      <c r="C159" s="381" t="s">
        <v>1650</v>
      </c>
      <c r="D159" s="381">
        <v>6</v>
      </c>
      <c r="E159" s="382">
        <v>219148</v>
      </c>
      <c r="F159" s="381">
        <v>6</v>
      </c>
      <c r="G159" s="383">
        <v>8857.0300000000007</v>
      </c>
      <c r="H159" s="383">
        <v>11491.86</v>
      </c>
      <c r="I159" s="381">
        <v>2013</v>
      </c>
      <c r="J159" s="384">
        <v>1</v>
      </c>
    </row>
    <row r="160" spans="1:10" x14ac:dyDescent="0.25">
      <c r="A160" s="379">
        <v>2000</v>
      </c>
      <c r="B160" s="381">
        <v>311</v>
      </c>
      <c r="C160" s="381" t="s">
        <v>1714</v>
      </c>
      <c r="D160" s="381">
        <v>20</v>
      </c>
      <c r="E160" s="382">
        <v>219148</v>
      </c>
      <c r="F160" s="381">
        <v>6</v>
      </c>
      <c r="G160" s="383">
        <v>4759.08</v>
      </c>
      <c r="H160" s="383">
        <v>6265.8</v>
      </c>
      <c r="I160" s="381">
        <v>2012</v>
      </c>
      <c r="J160" s="384">
        <v>1</v>
      </c>
    </row>
    <row r="161" spans="1:10" x14ac:dyDescent="0.25">
      <c r="A161" s="379">
        <v>2000</v>
      </c>
      <c r="B161" s="381">
        <v>311</v>
      </c>
      <c r="C161" s="381" t="s">
        <v>1714</v>
      </c>
      <c r="D161" s="381">
        <v>20</v>
      </c>
      <c r="E161" s="382">
        <v>219148</v>
      </c>
      <c r="F161" s="381">
        <v>6</v>
      </c>
      <c r="G161" s="383">
        <v>16608.150000000001</v>
      </c>
      <c r="H161" s="383">
        <v>22662.77</v>
      </c>
      <c r="I161" s="381">
        <v>2013</v>
      </c>
      <c r="J161" s="384">
        <v>1</v>
      </c>
    </row>
    <row r="162" spans="1:10" x14ac:dyDescent="0.25">
      <c r="A162" s="379">
        <v>3800</v>
      </c>
      <c r="B162" s="381" t="s">
        <v>1715</v>
      </c>
      <c r="C162" s="381" t="s">
        <v>1716</v>
      </c>
      <c r="D162" s="381">
        <v>20</v>
      </c>
      <c r="E162" s="382">
        <v>219148</v>
      </c>
      <c r="F162" s="381">
        <v>6</v>
      </c>
      <c r="G162" s="383">
        <v>15176.42</v>
      </c>
      <c r="H162" s="383">
        <v>24291.75</v>
      </c>
      <c r="I162" s="381">
        <v>2012</v>
      </c>
      <c r="J162" s="384">
        <v>1</v>
      </c>
    </row>
    <row r="163" spans="1:10" x14ac:dyDescent="0.25">
      <c r="A163" s="379">
        <v>3800</v>
      </c>
      <c r="B163" s="381" t="s">
        <v>1717</v>
      </c>
      <c r="C163" s="381" t="s">
        <v>1718</v>
      </c>
      <c r="D163" s="381">
        <v>22</v>
      </c>
      <c r="E163" s="382">
        <v>219148</v>
      </c>
      <c r="F163" s="381">
        <v>6</v>
      </c>
      <c r="G163" s="383">
        <v>10125.11</v>
      </c>
      <c r="H163" s="383">
        <v>15805.05</v>
      </c>
      <c r="I163" s="381">
        <v>2012</v>
      </c>
      <c r="J163" s="384">
        <v>1</v>
      </c>
    </row>
    <row r="164" spans="1:10" x14ac:dyDescent="0.25">
      <c r="A164" s="379">
        <v>3800</v>
      </c>
      <c r="B164" s="381" t="s">
        <v>1672</v>
      </c>
      <c r="C164" s="381" t="s">
        <v>1673</v>
      </c>
      <c r="D164" s="381">
        <v>1</v>
      </c>
      <c r="E164" s="382">
        <v>219148</v>
      </c>
      <c r="F164" s="381">
        <v>6</v>
      </c>
      <c r="G164" s="383">
        <v>30729.34</v>
      </c>
      <c r="H164" s="383">
        <v>52394.97</v>
      </c>
      <c r="I164" s="381">
        <v>2013</v>
      </c>
      <c r="J164" s="384">
        <v>1</v>
      </c>
    </row>
    <row r="165" spans="1:10" x14ac:dyDescent="0.25">
      <c r="A165" s="379">
        <v>3800</v>
      </c>
      <c r="B165" s="381" t="s">
        <v>1719</v>
      </c>
      <c r="C165" s="381" t="s">
        <v>1720</v>
      </c>
      <c r="D165" s="381">
        <v>1</v>
      </c>
      <c r="E165" s="382">
        <v>219148</v>
      </c>
      <c r="F165" s="381">
        <v>6</v>
      </c>
      <c r="G165" s="383">
        <v>12673.9</v>
      </c>
      <c r="H165" s="383">
        <v>18643.830000000002</v>
      </c>
      <c r="I165" s="381">
        <v>2013</v>
      </c>
      <c r="J165" s="384">
        <v>1</v>
      </c>
    </row>
    <row r="166" spans="1:10" x14ac:dyDescent="0.25">
      <c r="A166" s="379">
        <v>3800</v>
      </c>
      <c r="B166" s="381" t="s">
        <v>1721</v>
      </c>
      <c r="C166" s="381" t="s">
        <v>1722</v>
      </c>
      <c r="D166" s="381">
        <v>2</v>
      </c>
      <c r="E166" s="382">
        <v>219148</v>
      </c>
      <c r="F166" s="381">
        <v>6</v>
      </c>
      <c r="G166" s="383">
        <v>53939</v>
      </c>
      <c r="H166" s="383">
        <v>84718.93</v>
      </c>
      <c r="I166" s="381">
        <v>2012</v>
      </c>
      <c r="J166" s="384">
        <v>1</v>
      </c>
    </row>
    <row r="167" spans="1:10" x14ac:dyDescent="0.25">
      <c r="A167" s="379">
        <v>3800</v>
      </c>
      <c r="B167" s="381" t="s">
        <v>1723</v>
      </c>
      <c r="C167" s="381" t="s">
        <v>1724</v>
      </c>
      <c r="D167" s="381">
        <v>35</v>
      </c>
      <c r="E167" s="382">
        <v>219148</v>
      </c>
      <c r="F167" s="381">
        <v>6</v>
      </c>
      <c r="G167" s="383">
        <v>4331.17</v>
      </c>
      <c r="H167" s="383">
        <v>6630.17</v>
      </c>
      <c r="I167" s="381">
        <v>2013</v>
      </c>
      <c r="J167" s="384">
        <v>1</v>
      </c>
    </row>
    <row r="168" spans="1:10" x14ac:dyDescent="0.25">
      <c r="A168" s="379">
        <v>3800</v>
      </c>
      <c r="B168" s="381" t="s">
        <v>1725</v>
      </c>
      <c r="C168" s="381" t="s">
        <v>1726</v>
      </c>
      <c r="D168" s="381">
        <v>2</v>
      </c>
      <c r="E168" s="382">
        <v>219148</v>
      </c>
      <c r="F168" s="381">
        <v>6</v>
      </c>
      <c r="G168" s="383">
        <v>6265.63</v>
      </c>
      <c r="H168" s="383">
        <v>8929.2099999999991</v>
      </c>
      <c r="I168" s="381">
        <v>2012</v>
      </c>
      <c r="J168" s="384">
        <v>1</v>
      </c>
    </row>
    <row r="169" spans="1:10" x14ac:dyDescent="0.25">
      <c r="A169" s="379">
        <v>3800</v>
      </c>
      <c r="B169" s="381" t="s">
        <v>1727</v>
      </c>
      <c r="C169" s="381" t="s">
        <v>1728</v>
      </c>
      <c r="D169" s="381">
        <v>2</v>
      </c>
      <c r="E169" s="382">
        <v>219148</v>
      </c>
      <c r="F169" s="381">
        <v>6</v>
      </c>
      <c r="G169" s="383">
        <v>50915.360000000001</v>
      </c>
      <c r="H169" s="383">
        <v>69467.81</v>
      </c>
      <c r="I169" s="381">
        <v>2012</v>
      </c>
      <c r="J169" s="384">
        <v>1</v>
      </c>
    </row>
    <row r="170" spans="1:10" x14ac:dyDescent="0.25">
      <c r="A170" s="379">
        <v>4001</v>
      </c>
      <c r="B170" s="381">
        <v>30</v>
      </c>
      <c r="C170" s="381" t="s">
        <v>1674</v>
      </c>
      <c r="D170" s="381">
        <v>1</v>
      </c>
      <c r="E170" s="382">
        <v>219148</v>
      </c>
      <c r="F170" s="381">
        <v>6</v>
      </c>
      <c r="G170" s="383">
        <v>6472.28</v>
      </c>
      <c r="H170" s="383">
        <v>8483.49</v>
      </c>
      <c r="I170" s="381">
        <v>2012</v>
      </c>
      <c r="J170" s="384">
        <v>1</v>
      </c>
    </row>
    <row r="171" spans="1:10" x14ac:dyDescent="0.25">
      <c r="A171" s="379">
        <v>4202</v>
      </c>
      <c r="B171" s="381">
        <v>250</v>
      </c>
      <c r="C171" s="381" t="s">
        <v>1579</v>
      </c>
      <c r="D171" s="381">
        <v>80</v>
      </c>
      <c r="E171" s="382">
        <v>219148</v>
      </c>
      <c r="F171" s="381">
        <v>6</v>
      </c>
      <c r="G171" s="383">
        <v>11878.36</v>
      </c>
      <c r="H171" s="383">
        <v>15716.52</v>
      </c>
      <c r="I171" s="381">
        <v>2012</v>
      </c>
      <c r="J171" s="384">
        <v>1</v>
      </c>
    </row>
    <row r="172" spans="1:10" x14ac:dyDescent="0.25">
      <c r="A172" s="379">
        <v>4202</v>
      </c>
      <c r="B172" s="381">
        <v>710</v>
      </c>
      <c r="C172" s="381" t="s">
        <v>1729</v>
      </c>
      <c r="D172" s="381">
        <v>2</v>
      </c>
      <c r="E172" s="382">
        <v>219148</v>
      </c>
      <c r="F172" s="381">
        <v>6</v>
      </c>
      <c r="G172" s="383">
        <v>36470.57</v>
      </c>
      <c r="H172" s="383">
        <v>45358.66</v>
      </c>
      <c r="I172" s="381">
        <v>2013</v>
      </c>
      <c r="J172" s="384">
        <v>1</v>
      </c>
    </row>
    <row r="173" spans="1:10" x14ac:dyDescent="0.25">
      <c r="A173" s="379">
        <v>4202</v>
      </c>
      <c r="B173" s="381">
        <v>770</v>
      </c>
      <c r="C173" s="381" t="s">
        <v>1730</v>
      </c>
      <c r="D173" s="381">
        <v>90</v>
      </c>
      <c r="E173" s="382">
        <v>219148</v>
      </c>
      <c r="F173" s="381">
        <v>6</v>
      </c>
      <c r="G173" s="383">
        <v>10487.7</v>
      </c>
      <c r="H173" s="383">
        <v>13338.54</v>
      </c>
      <c r="I173" s="381">
        <v>2013</v>
      </c>
      <c r="J173" s="384">
        <v>1</v>
      </c>
    </row>
    <row r="174" spans="1:10" x14ac:dyDescent="0.25">
      <c r="A174" s="379">
        <v>4212</v>
      </c>
      <c r="B174" s="381">
        <v>210</v>
      </c>
      <c r="C174" s="381" t="s">
        <v>1731</v>
      </c>
      <c r="D174" s="381">
        <v>2</v>
      </c>
      <c r="E174" s="382">
        <v>41670</v>
      </c>
      <c r="F174" s="381">
        <v>6</v>
      </c>
      <c r="G174" s="383">
        <v>44918.13</v>
      </c>
      <c r="H174" s="383">
        <v>56083.040000000001</v>
      </c>
      <c r="I174" s="381">
        <v>2012</v>
      </c>
      <c r="J174" s="384">
        <v>1</v>
      </c>
    </row>
    <row r="175" spans="1:10" x14ac:dyDescent="0.25">
      <c r="A175" s="379">
        <v>5000</v>
      </c>
      <c r="B175" s="381">
        <v>230</v>
      </c>
      <c r="C175" s="381" t="s">
        <v>1732</v>
      </c>
      <c r="D175" s="381">
        <v>80</v>
      </c>
      <c r="E175" s="382">
        <v>219148</v>
      </c>
      <c r="F175" s="381">
        <v>6</v>
      </c>
      <c r="G175" s="383">
        <v>905.87</v>
      </c>
      <c r="H175" s="383">
        <v>1918.45</v>
      </c>
      <c r="I175" s="381">
        <v>2013</v>
      </c>
      <c r="J175" s="384">
        <v>1</v>
      </c>
    </row>
    <row r="176" spans="1:10" x14ac:dyDescent="0.25">
      <c r="A176" s="379">
        <v>5001</v>
      </c>
      <c r="B176" s="381">
        <v>50</v>
      </c>
      <c r="C176" s="381" t="s">
        <v>1667</v>
      </c>
      <c r="D176" s="381">
        <v>1</v>
      </c>
      <c r="E176" s="382">
        <v>219148</v>
      </c>
      <c r="F176" s="381">
        <v>6</v>
      </c>
      <c r="G176" s="383">
        <v>9709.3799999999992</v>
      </c>
      <c r="H176" s="383">
        <v>16624.61</v>
      </c>
      <c r="I176" s="381">
        <v>2012</v>
      </c>
      <c r="J176" s="384">
        <v>1</v>
      </c>
    </row>
    <row r="177" spans="1:10" x14ac:dyDescent="0.25">
      <c r="A177" s="379">
        <v>5001</v>
      </c>
      <c r="B177" s="381">
        <v>80</v>
      </c>
      <c r="C177" s="381" t="s">
        <v>1572</v>
      </c>
      <c r="D177" s="381">
        <v>20</v>
      </c>
      <c r="E177" s="382">
        <v>219148</v>
      </c>
      <c r="F177" s="381">
        <v>6</v>
      </c>
      <c r="G177" s="383">
        <v>8596.75</v>
      </c>
      <c r="H177" s="383">
        <v>16367.6</v>
      </c>
      <c r="I177" s="381">
        <v>2012</v>
      </c>
      <c r="J177" s="384">
        <v>1</v>
      </c>
    </row>
    <row r="178" spans="1:10" x14ac:dyDescent="0.25">
      <c r="A178" s="379">
        <v>5501</v>
      </c>
      <c r="B178" s="381">
        <v>56</v>
      </c>
      <c r="C178" s="381" t="s">
        <v>1733</v>
      </c>
      <c r="D178" s="381">
        <v>20</v>
      </c>
      <c r="E178" s="382">
        <v>219148</v>
      </c>
      <c r="F178" s="381">
        <v>6</v>
      </c>
      <c r="G178" s="383">
        <v>29249.360000000001</v>
      </c>
      <c r="H178" s="383">
        <v>36957.050000000003</v>
      </c>
      <c r="I178" s="381">
        <v>2012</v>
      </c>
      <c r="J178" s="384">
        <v>1</v>
      </c>
    </row>
    <row r="179" spans="1:10" x14ac:dyDescent="0.25">
      <c r="A179" s="379">
        <v>5501</v>
      </c>
      <c r="B179" s="381">
        <v>56</v>
      </c>
      <c r="C179" s="381" t="s">
        <v>1733</v>
      </c>
      <c r="D179" s="381">
        <v>20</v>
      </c>
      <c r="E179" s="382">
        <v>219148</v>
      </c>
      <c r="F179" s="381">
        <v>6</v>
      </c>
      <c r="G179" s="383">
        <v>28407.32</v>
      </c>
      <c r="H179" s="383">
        <v>38961.550000000003</v>
      </c>
      <c r="I179" s="381">
        <v>2013</v>
      </c>
      <c r="J179" s="384">
        <v>1</v>
      </c>
    </row>
    <row r="180" spans="1:10" x14ac:dyDescent="0.25">
      <c r="A180" s="379">
        <v>5501</v>
      </c>
      <c r="B180" s="381" t="s">
        <v>1734</v>
      </c>
      <c r="C180" s="381" t="s">
        <v>1735</v>
      </c>
      <c r="D180" s="381">
        <v>12</v>
      </c>
      <c r="E180" s="382">
        <v>219148</v>
      </c>
      <c r="F180" s="381">
        <v>6</v>
      </c>
      <c r="G180" s="383">
        <v>8548.11</v>
      </c>
      <c r="H180" s="383">
        <v>10894.94</v>
      </c>
      <c r="I180" s="381">
        <v>2013</v>
      </c>
      <c r="J180" s="384">
        <v>1</v>
      </c>
    </row>
    <row r="181" spans="1:10" x14ac:dyDescent="0.25">
      <c r="A181" s="379">
        <v>5501</v>
      </c>
      <c r="B181" s="381" t="s">
        <v>1688</v>
      </c>
      <c r="C181" s="381" t="s">
        <v>1689</v>
      </c>
      <c r="D181" s="381">
        <v>1</v>
      </c>
      <c r="E181" s="382">
        <v>219148</v>
      </c>
      <c r="F181" s="381">
        <v>6</v>
      </c>
      <c r="G181" s="383">
        <v>4264.3100000000004</v>
      </c>
      <c r="H181" s="383">
        <v>5274.18</v>
      </c>
      <c r="I181" s="381">
        <v>2012</v>
      </c>
      <c r="J181" s="384">
        <v>1</v>
      </c>
    </row>
    <row r="182" spans="1:10" x14ac:dyDescent="0.25">
      <c r="A182" s="379">
        <v>5501</v>
      </c>
      <c r="B182" s="381">
        <v>452</v>
      </c>
      <c r="C182" s="381" t="s">
        <v>1736</v>
      </c>
      <c r="D182" s="381">
        <v>6</v>
      </c>
      <c r="E182" s="382">
        <v>219148</v>
      </c>
      <c r="F182" s="381">
        <v>6</v>
      </c>
      <c r="G182" s="383">
        <v>25637.43</v>
      </c>
      <c r="H182" s="383">
        <v>32509.13</v>
      </c>
      <c r="I182" s="381">
        <v>2012</v>
      </c>
      <c r="J182" s="384">
        <v>1</v>
      </c>
    </row>
    <row r="183" spans="1:10" x14ac:dyDescent="0.25">
      <c r="A183" s="379">
        <v>6006</v>
      </c>
      <c r="B183" s="381">
        <v>40</v>
      </c>
      <c r="C183" s="381" t="s">
        <v>1737</v>
      </c>
      <c r="D183" s="381">
        <v>1</v>
      </c>
      <c r="E183" s="382">
        <v>219148</v>
      </c>
      <c r="F183" s="381">
        <v>6</v>
      </c>
      <c r="G183" s="383">
        <v>4340.6400000000003</v>
      </c>
      <c r="H183" s="383">
        <v>6024.93</v>
      </c>
      <c r="I183" s="381">
        <v>2013</v>
      </c>
      <c r="J183" s="384">
        <v>1</v>
      </c>
    </row>
    <row r="184" spans="1:10" x14ac:dyDescent="0.25">
      <c r="A184" s="379">
        <v>6008</v>
      </c>
      <c r="B184" s="381">
        <v>50</v>
      </c>
      <c r="C184" s="381" t="s">
        <v>1738</v>
      </c>
      <c r="D184" s="381">
        <v>1</v>
      </c>
      <c r="E184" s="382">
        <v>219148</v>
      </c>
      <c r="F184" s="381">
        <v>6</v>
      </c>
      <c r="G184" s="383">
        <v>2303.3200000000002</v>
      </c>
      <c r="H184" s="383">
        <v>6158.03</v>
      </c>
      <c r="I184" s="381">
        <v>2013</v>
      </c>
      <c r="J184" s="384">
        <v>1</v>
      </c>
    </row>
    <row r="185" spans="1:10" x14ac:dyDescent="0.25">
      <c r="A185" s="379">
        <v>6620</v>
      </c>
      <c r="B185" s="381">
        <v>51</v>
      </c>
      <c r="C185" s="381" t="s">
        <v>1676</v>
      </c>
      <c r="D185" s="381">
        <v>12</v>
      </c>
      <c r="E185" s="382">
        <v>219148</v>
      </c>
      <c r="F185" s="381">
        <v>6</v>
      </c>
      <c r="G185" s="383">
        <v>5560.73</v>
      </c>
      <c r="H185" s="383">
        <v>5950.41</v>
      </c>
      <c r="I185" s="381">
        <v>2012</v>
      </c>
      <c r="J185" s="384">
        <v>1</v>
      </c>
    </row>
    <row r="186" spans="1:10" x14ac:dyDescent="0.25">
      <c r="A186" s="379">
        <v>6620</v>
      </c>
      <c r="B186" s="381">
        <v>121</v>
      </c>
      <c r="C186" s="381" t="s">
        <v>1739</v>
      </c>
      <c r="D186" s="381">
        <v>2</v>
      </c>
      <c r="E186" s="382">
        <v>219148</v>
      </c>
      <c r="F186" s="381">
        <v>6</v>
      </c>
      <c r="G186" s="383">
        <v>27530.03</v>
      </c>
      <c r="H186" s="383">
        <v>34318.129999999997</v>
      </c>
      <c r="I186" s="381">
        <v>2012</v>
      </c>
      <c r="J186" s="384">
        <v>1</v>
      </c>
    </row>
    <row r="187" spans="1:10" x14ac:dyDescent="0.25">
      <c r="A187" s="379">
        <v>6620</v>
      </c>
      <c r="B187" s="381">
        <v>121</v>
      </c>
      <c r="C187" s="381" t="s">
        <v>1739</v>
      </c>
      <c r="D187" s="381">
        <v>2</v>
      </c>
      <c r="E187" s="382">
        <v>219148</v>
      </c>
      <c r="F187" s="381">
        <v>6</v>
      </c>
      <c r="G187" s="383">
        <v>37151.94</v>
      </c>
      <c r="H187" s="383">
        <v>46502.55</v>
      </c>
      <c r="I187" s="381">
        <v>2013</v>
      </c>
      <c r="J187" s="384">
        <v>1</v>
      </c>
    </row>
    <row r="188" spans="1:10" x14ac:dyDescent="0.25">
      <c r="A188" s="379">
        <v>6620</v>
      </c>
      <c r="B188" s="381">
        <v>151</v>
      </c>
      <c r="C188" s="381" t="s">
        <v>1582</v>
      </c>
      <c r="D188" s="381">
        <v>20</v>
      </c>
      <c r="E188" s="382">
        <v>219148</v>
      </c>
      <c r="F188" s="381">
        <v>6</v>
      </c>
      <c r="G188" s="383">
        <v>7034.21</v>
      </c>
      <c r="H188" s="383">
        <v>11977.42</v>
      </c>
      <c r="I188" s="381">
        <v>2012</v>
      </c>
      <c r="J188" s="384">
        <v>1</v>
      </c>
    </row>
    <row r="189" spans="1:10" x14ac:dyDescent="0.25">
      <c r="A189" s="379">
        <v>6620</v>
      </c>
      <c r="B189" s="381" t="s">
        <v>1692</v>
      </c>
      <c r="C189" s="381" t="s">
        <v>1693</v>
      </c>
      <c r="D189" s="381">
        <v>42</v>
      </c>
      <c r="E189" s="382">
        <v>219148</v>
      </c>
      <c r="F189" s="381">
        <v>6</v>
      </c>
      <c r="G189" s="383">
        <v>4621.8500000000004</v>
      </c>
      <c r="H189" s="383">
        <v>6990.58</v>
      </c>
      <c r="I189" s="381">
        <v>2013</v>
      </c>
      <c r="J189" s="384">
        <v>1</v>
      </c>
    </row>
    <row r="190" spans="1:10" x14ac:dyDescent="0.25">
      <c r="A190" s="379">
        <v>6620</v>
      </c>
      <c r="B190" s="381" t="s">
        <v>1740</v>
      </c>
      <c r="C190" s="381" t="s">
        <v>1741</v>
      </c>
      <c r="D190" s="381">
        <v>42</v>
      </c>
      <c r="E190" s="382">
        <v>219148</v>
      </c>
      <c r="F190" s="381">
        <v>6</v>
      </c>
      <c r="G190" s="383">
        <v>5923.44</v>
      </c>
      <c r="H190" s="383">
        <v>7709.24</v>
      </c>
      <c r="I190" s="381">
        <v>2013</v>
      </c>
      <c r="J190" s="384">
        <v>1</v>
      </c>
    </row>
    <row r="191" spans="1:10" x14ac:dyDescent="0.25">
      <c r="A191" s="379">
        <v>6630</v>
      </c>
      <c r="B191" s="381">
        <v>41</v>
      </c>
      <c r="C191" s="381" t="s">
        <v>1742</v>
      </c>
      <c r="D191" s="381">
        <v>1</v>
      </c>
      <c r="E191" s="382">
        <v>219148</v>
      </c>
      <c r="F191" s="381">
        <v>6</v>
      </c>
      <c r="G191" s="383">
        <v>4107.59</v>
      </c>
      <c r="H191" s="383">
        <v>5678.33</v>
      </c>
      <c r="I191" s="381">
        <v>2013</v>
      </c>
      <c r="J191" s="384">
        <v>1</v>
      </c>
    </row>
    <row r="192" spans="1:10" x14ac:dyDescent="0.25">
      <c r="A192" s="379">
        <v>7002</v>
      </c>
      <c r="B192" s="381">
        <v>51</v>
      </c>
      <c r="C192" s="381" t="s">
        <v>1743</v>
      </c>
      <c r="D192" s="381">
        <v>1</v>
      </c>
      <c r="E192" s="382">
        <v>41471</v>
      </c>
      <c r="F192" s="381">
        <v>6</v>
      </c>
      <c r="G192" s="383">
        <v>53939</v>
      </c>
      <c r="H192" s="383">
        <v>76270.16</v>
      </c>
      <c r="I192" s="381">
        <v>2012</v>
      </c>
      <c r="J192" s="384">
        <v>1</v>
      </c>
    </row>
    <row r="193" spans="1:10" x14ac:dyDescent="0.25">
      <c r="A193" s="379">
        <v>7603</v>
      </c>
      <c r="B193" s="381">
        <v>461</v>
      </c>
      <c r="C193" s="381" t="s">
        <v>1653</v>
      </c>
      <c r="D193" s="381">
        <v>99</v>
      </c>
      <c r="E193" s="382">
        <v>219148</v>
      </c>
      <c r="F193" s="381">
        <v>6</v>
      </c>
      <c r="G193" s="383">
        <v>4726.97</v>
      </c>
      <c r="H193" s="383">
        <v>6410.67</v>
      </c>
      <c r="I193" s="381">
        <v>2012</v>
      </c>
      <c r="J193" s="384">
        <v>1</v>
      </c>
    </row>
    <row r="194" spans="1:10" x14ac:dyDescent="0.25">
      <c r="A194" s="379">
        <v>8001</v>
      </c>
      <c r="B194" s="381">
        <v>311</v>
      </c>
      <c r="C194" s="381" t="s">
        <v>1744</v>
      </c>
      <c r="D194" s="381">
        <v>40</v>
      </c>
      <c r="E194" s="382">
        <v>219148</v>
      </c>
      <c r="F194" s="381">
        <v>6</v>
      </c>
      <c r="G194" s="383">
        <v>14102.45</v>
      </c>
      <c r="H194" s="383">
        <v>20911.669999999998</v>
      </c>
      <c r="I194" s="381">
        <v>2012</v>
      </c>
      <c r="J194" s="384">
        <v>1</v>
      </c>
    </row>
    <row r="195" spans="1:10" x14ac:dyDescent="0.25">
      <c r="A195" s="379">
        <v>8001</v>
      </c>
      <c r="B195" s="381">
        <v>311</v>
      </c>
      <c r="C195" s="381" t="s">
        <v>1744</v>
      </c>
      <c r="D195" s="381">
        <v>40</v>
      </c>
      <c r="E195" s="382">
        <v>219148</v>
      </c>
      <c r="F195" s="381">
        <v>6</v>
      </c>
      <c r="G195" s="383">
        <v>34875.25</v>
      </c>
      <c r="H195" s="383">
        <v>52567.16</v>
      </c>
      <c r="I195" s="381">
        <v>2013</v>
      </c>
      <c r="J195" s="384">
        <v>1</v>
      </c>
    </row>
    <row r="196" spans="1:10" x14ac:dyDescent="0.25">
      <c r="A196" s="379">
        <v>8001</v>
      </c>
      <c r="B196" s="381">
        <v>481</v>
      </c>
      <c r="C196" s="381" t="s">
        <v>1745</v>
      </c>
      <c r="D196" s="381">
        <v>1</v>
      </c>
      <c r="E196" s="382">
        <v>219148</v>
      </c>
      <c r="F196" s="381">
        <v>6</v>
      </c>
      <c r="G196" s="383">
        <v>15633.15</v>
      </c>
      <c r="H196" s="383">
        <v>20372.52</v>
      </c>
      <c r="I196" s="381">
        <v>2012</v>
      </c>
      <c r="J196" s="384">
        <v>1</v>
      </c>
    </row>
    <row r="197" spans="1:10" x14ac:dyDescent="0.25">
      <c r="A197" s="379">
        <v>8001</v>
      </c>
      <c r="B197" s="381">
        <v>481</v>
      </c>
      <c r="C197" s="381" t="s">
        <v>1745</v>
      </c>
      <c r="D197" s="381">
        <v>1</v>
      </c>
      <c r="E197" s="382">
        <v>219148</v>
      </c>
      <c r="F197" s="381">
        <v>6</v>
      </c>
      <c r="G197" s="383">
        <v>12680.88</v>
      </c>
      <c r="H197" s="383">
        <v>17292.5</v>
      </c>
      <c r="I197" s="381">
        <v>2013</v>
      </c>
      <c r="J197" s="384">
        <v>1</v>
      </c>
    </row>
    <row r="198" spans="1:10" x14ac:dyDescent="0.25">
      <c r="A198" s="379">
        <v>8003</v>
      </c>
      <c r="B198" s="381">
        <v>31</v>
      </c>
      <c r="C198" s="381" t="s">
        <v>1746</v>
      </c>
      <c r="D198" s="381">
        <v>12</v>
      </c>
      <c r="E198" s="382">
        <v>219148</v>
      </c>
      <c r="F198" s="381">
        <v>6</v>
      </c>
      <c r="G198" s="383">
        <v>27120.93</v>
      </c>
      <c r="H198" s="383">
        <v>35623.08</v>
      </c>
      <c r="I198" s="381">
        <v>2012</v>
      </c>
      <c r="J198" s="384">
        <v>1</v>
      </c>
    </row>
    <row r="199" spans="1:10" x14ac:dyDescent="0.25">
      <c r="A199" s="379">
        <v>8003</v>
      </c>
      <c r="B199" s="381">
        <v>71</v>
      </c>
      <c r="C199" s="381" t="s">
        <v>1747</v>
      </c>
      <c r="D199" s="381">
        <v>30</v>
      </c>
      <c r="E199" s="382">
        <v>219148</v>
      </c>
      <c r="F199" s="381">
        <v>6</v>
      </c>
      <c r="G199" s="383">
        <v>17208.939999999999</v>
      </c>
      <c r="H199" s="383">
        <v>22287.82</v>
      </c>
      <c r="I199" s="381">
        <v>2013</v>
      </c>
      <c r="J199" s="384">
        <v>1</v>
      </c>
    </row>
    <row r="200" spans="1:10" x14ac:dyDescent="0.25">
      <c r="A200" s="379">
        <v>8003</v>
      </c>
      <c r="B200" s="381">
        <v>201</v>
      </c>
      <c r="C200" s="381" t="s">
        <v>1748</v>
      </c>
      <c r="D200" s="381">
        <v>1</v>
      </c>
      <c r="E200" s="382">
        <v>219148</v>
      </c>
      <c r="F200" s="381">
        <v>6</v>
      </c>
      <c r="G200" s="383">
        <v>2834.61</v>
      </c>
      <c r="H200" s="383">
        <v>3464.05</v>
      </c>
      <c r="I200" s="381">
        <v>2012</v>
      </c>
      <c r="J200" s="384">
        <v>1</v>
      </c>
    </row>
    <row r="201" spans="1:10" x14ac:dyDescent="0.25">
      <c r="A201" s="379">
        <v>8003</v>
      </c>
      <c r="B201" s="381">
        <v>201</v>
      </c>
      <c r="C201" s="381" t="s">
        <v>1748</v>
      </c>
      <c r="D201" s="381">
        <v>1</v>
      </c>
      <c r="E201" s="382">
        <v>219148</v>
      </c>
      <c r="F201" s="381">
        <v>6</v>
      </c>
      <c r="G201" s="383">
        <v>1711.8</v>
      </c>
      <c r="H201" s="383">
        <v>2451.0700000000002</v>
      </c>
      <c r="I201" s="381">
        <v>2013</v>
      </c>
      <c r="J201" s="384">
        <v>1</v>
      </c>
    </row>
    <row r="202" spans="1:10" x14ac:dyDescent="0.25">
      <c r="A202" s="379">
        <v>8003</v>
      </c>
      <c r="B202" s="381">
        <v>202</v>
      </c>
      <c r="C202" s="381" t="s">
        <v>1749</v>
      </c>
      <c r="D202" s="381">
        <v>1</v>
      </c>
      <c r="E202" s="382">
        <v>219148</v>
      </c>
      <c r="F202" s="381">
        <v>6</v>
      </c>
      <c r="G202" s="383">
        <v>28504.22</v>
      </c>
      <c r="H202" s="383">
        <v>37458.29</v>
      </c>
      <c r="I202" s="381">
        <v>2013</v>
      </c>
      <c r="J202" s="384">
        <v>1</v>
      </c>
    </row>
    <row r="203" spans="1:10" ht="15.75" thickBot="1" x14ac:dyDescent="0.3">
      <c r="A203" s="385">
        <v>8005</v>
      </c>
      <c r="B203" s="387">
        <v>31</v>
      </c>
      <c r="C203" s="387" t="s">
        <v>1699</v>
      </c>
      <c r="D203" s="387">
        <v>1</v>
      </c>
      <c r="E203" s="388">
        <v>219148</v>
      </c>
      <c r="F203" s="387">
        <v>6</v>
      </c>
      <c r="G203" s="389">
        <v>2645.22</v>
      </c>
      <c r="H203" s="389">
        <v>3738.05</v>
      </c>
      <c r="I203" s="387">
        <v>2013</v>
      </c>
      <c r="J203" s="390">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heetViews>
  <sheetFormatPr defaultRowHeight="15" x14ac:dyDescent="0.25"/>
  <cols>
    <col min="1" max="1" width="20" customWidth="1"/>
    <col min="2" max="2" width="10.42578125" bestFit="1" customWidth="1"/>
  </cols>
  <sheetData>
    <row r="1" spans="1:5" ht="18.75" x14ac:dyDescent="0.3">
      <c r="A1" s="7" t="s">
        <v>120</v>
      </c>
    </row>
    <row r="3" spans="1:5" x14ac:dyDescent="0.25">
      <c r="A3" t="s">
        <v>138</v>
      </c>
    </row>
    <row r="4" spans="1:5" x14ac:dyDescent="0.25">
      <c r="B4" t="s">
        <v>122</v>
      </c>
      <c r="C4" t="s">
        <v>123</v>
      </c>
      <c r="D4" t="s">
        <v>131</v>
      </c>
      <c r="E4" t="s">
        <v>125</v>
      </c>
    </row>
    <row r="5" spans="1:5" x14ac:dyDescent="0.25">
      <c r="A5" t="s">
        <v>126</v>
      </c>
      <c r="B5">
        <v>1.5</v>
      </c>
      <c r="C5">
        <v>632</v>
      </c>
      <c r="D5" s="8">
        <v>1</v>
      </c>
      <c r="E5" s="9">
        <f t="shared" ref="E5:E6" si="0">+B5*C5*D5</f>
        <v>948</v>
      </c>
    </row>
    <row r="6" spans="1:5" x14ac:dyDescent="0.25">
      <c r="A6" t="s">
        <v>127</v>
      </c>
      <c r="B6">
        <f>3*1.5</f>
        <v>4.5</v>
      </c>
      <c r="C6">
        <v>296</v>
      </c>
      <c r="D6" s="8">
        <v>1</v>
      </c>
      <c r="E6" s="9">
        <f t="shared" si="0"/>
        <v>1332</v>
      </c>
    </row>
    <row r="7" spans="1:5" x14ac:dyDescent="0.25">
      <c r="A7" t="s">
        <v>125</v>
      </c>
      <c r="E7" s="9">
        <f>SUM(E5:E6)</f>
        <v>2280</v>
      </c>
    </row>
    <row r="9" spans="1:5" x14ac:dyDescent="0.25">
      <c r="A9" t="s">
        <v>130</v>
      </c>
    </row>
    <row r="10" spans="1:5" x14ac:dyDescent="0.25">
      <c r="B10" t="s">
        <v>122</v>
      </c>
      <c r="C10" t="s">
        <v>123</v>
      </c>
      <c r="D10" t="s">
        <v>131</v>
      </c>
      <c r="E10" t="s">
        <v>125</v>
      </c>
    </row>
    <row r="11" spans="1:5" x14ac:dyDescent="0.25">
      <c r="A11" t="s">
        <v>126</v>
      </c>
      <c r="B11">
        <v>2</v>
      </c>
      <c r="C11">
        <v>632</v>
      </c>
      <c r="D11" s="8">
        <v>0.26</v>
      </c>
      <c r="E11" s="9">
        <f t="shared" ref="E11:E12" si="1">+B11*C11*D11</f>
        <v>328.64</v>
      </c>
    </row>
    <row r="12" spans="1:5" x14ac:dyDescent="0.25">
      <c r="A12" t="s">
        <v>127</v>
      </c>
      <c r="B12">
        <f>3*2</f>
        <v>6</v>
      </c>
      <c r="C12">
        <v>296</v>
      </c>
      <c r="D12" s="8">
        <v>0.26</v>
      </c>
      <c r="E12" s="9">
        <f t="shared" si="1"/>
        <v>461.76</v>
      </c>
    </row>
    <row r="13" spans="1:5" x14ac:dyDescent="0.25">
      <c r="A13" t="s">
        <v>125</v>
      </c>
      <c r="E13" s="9">
        <f>SUM(E11:E12)</f>
        <v>790.4</v>
      </c>
    </row>
    <row r="14" spans="1:5" x14ac:dyDescent="0.25">
      <c r="E14" s="9"/>
    </row>
    <row r="15" spans="1:5" x14ac:dyDescent="0.25">
      <c r="A15" t="s">
        <v>132</v>
      </c>
    </row>
    <row r="16" spans="1:5" x14ac:dyDescent="0.25">
      <c r="B16" t="s">
        <v>122</v>
      </c>
      <c r="C16" t="s">
        <v>123</v>
      </c>
      <c r="D16" t="s">
        <v>131</v>
      </c>
      <c r="E16" t="s">
        <v>125</v>
      </c>
    </row>
    <row r="17" spans="1:5" x14ac:dyDescent="0.25">
      <c r="A17" t="s">
        <v>126</v>
      </c>
      <c r="B17">
        <v>1</v>
      </c>
      <c r="C17">
        <v>632</v>
      </c>
      <c r="D17" s="8">
        <v>0.49</v>
      </c>
      <c r="E17" s="9">
        <f t="shared" ref="E17:E18" si="2">+B17*C17*D17</f>
        <v>309.68</v>
      </c>
    </row>
    <row r="18" spans="1:5" x14ac:dyDescent="0.25">
      <c r="A18" t="s">
        <v>127</v>
      </c>
      <c r="B18">
        <f>3*1</f>
        <v>3</v>
      </c>
      <c r="C18">
        <v>296</v>
      </c>
      <c r="D18" s="8">
        <v>0.49</v>
      </c>
      <c r="E18" s="9">
        <f t="shared" si="2"/>
        <v>435.12</v>
      </c>
    </row>
    <row r="19" spans="1:5" x14ac:dyDescent="0.25">
      <c r="A19" t="s">
        <v>125</v>
      </c>
      <c r="E19" s="9">
        <f>SUM(E17:E18)</f>
        <v>744.8</v>
      </c>
    </row>
    <row r="21" spans="1:5" x14ac:dyDescent="0.25">
      <c r="A21" t="s">
        <v>139</v>
      </c>
    </row>
    <row r="22" spans="1:5" x14ac:dyDescent="0.25">
      <c r="B22" t="s">
        <v>122</v>
      </c>
      <c r="C22" t="s">
        <v>123</v>
      </c>
      <c r="D22" t="s">
        <v>131</v>
      </c>
      <c r="E22" t="s">
        <v>125</v>
      </c>
    </row>
    <row r="23" spans="1:5" x14ac:dyDescent="0.25">
      <c r="A23" t="s">
        <v>126</v>
      </c>
      <c r="B23">
        <v>1</v>
      </c>
      <c r="C23">
        <v>632</v>
      </c>
      <c r="D23" s="8">
        <v>0.01</v>
      </c>
      <c r="E23" s="9">
        <f t="shared" ref="E23:E24" si="3">+B23*C23*D23</f>
        <v>6.32</v>
      </c>
    </row>
    <row r="24" spans="1:5" x14ac:dyDescent="0.25">
      <c r="A24" t="s">
        <v>127</v>
      </c>
      <c r="B24">
        <f>2*1</f>
        <v>2</v>
      </c>
      <c r="C24">
        <v>296</v>
      </c>
      <c r="D24" s="8">
        <v>0.01</v>
      </c>
      <c r="E24" s="9">
        <f t="shared" si="3"/>
        <v>5.92</v>
      </c>
    </row>
    <row r="25" spans="1:5" x14ac:dyDescent="0.25">
      <c r="A25" t="s">
        <v>125</v>
      </c>
      <c r="E25" s="9">
        <f>SUM(E23:E24)</f>
        <v>12.24</v>
      </c>
    </row>
    <row r="27" spans="1:5" x14ac:dyDescent="0.25">
      <c r="A27" t="s">
        <v>140</v>
      </c>
    </row>
    <row r="28" spans="1:5" x14ac:dyDescent="0.25">
      <c r="B28" t="s">
        <v>122</v>
      </c>
      <c r="C28" t="s">
        <v>123</v>
      </c>
      <c r="D28" t="s">
        <v>131</v>
      </c>
      <c r="E28" t="s">
        <v>125</v>
      </c>
    </row>
    <row r="29" spans="1:5" x14ac:dyDescent="0.25">
      <c r="A29" t="s">
        <v>126</v>
      </c>
      <c r="B29">
        <v>1</v>
      </c>
      <c r="C29">
        <v>632</v>
      </c>
      <c r="D29" s="8">
        <v>0.15</v>
      </c>
      <c r="E29" s="9">
        <f t="shared" ref="E29:E30" si="4">+B29*C29*D29</f>
        <v>94.8</v>
      </c>
    </row>
    <row r="30" spans="1:5" x14ac:dyDescent="0.25">
      <c r="A30" t="s">
        <v>127</v>
      </c>
      <c r="B30">
        <f>2*1</f>
        <v>2</v>
      </c>
      <c r="C30">
        <v>296</v>
      </c>
      <c r="D30" s="8">
        <v>0.15</v>
      </c>
      <c r="E30" s="9">
        <f t="shared" si="4"/>
        <v>88.8</v>
      </c>
    </row>
    <row r="31" spans="1:5" x14ac:dyDescent="0.25">
      <c r="A31" t="s">
        <v>125</v>
      </c>
      <c r="E31" s="9">
        <f>SUM(E29:E30)</f>
        <v>183.6</v>
      </c>
    </row>
    <row r="33" spans="1:3" x14ac:dyDescent="0.25">
      <c r="A33" t="s">
        <v>133</v>
      </c>
      <c r="C33" s="9">
        <v>3337</v>
      </c>
    </row>
    <row r="34" spans="1:3" x14ac:dyDescent="0.25">
      <c r="A34" t="s">
        <v>134</v>
      </c>
      <c r="C34">
        <v>785</v>
      </c>
    </row>
    <row r="35" spans="1:3" x14ac:dyDescent="0.25">
      <c r="A35" t="s">
        <v>135</v>
      </c>
      <c r="C35" s="9">
        <v>6234</v>
      </c>
    </row>
    <row r="37" spans="1:3" x14ac:dyDescent="0.25">
      <c r="A37" s="10" t="s">
        <v>136</v>
      </c>
      <c r="B37" s="10"/>
      <c r="C37" s="11">
        <f>+E7+E13+E19+E25+E31+C33+C34+C35</f>
        <v>14367.039999999999</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heetViews>
  <sheetFormatPr defaultRowHeight="15" x14ac:dyDescent="0.25"/>
  <cols>
    <col min="1" max="1" width="5" customWidth="1"/>
    <col min="2" max="2" width="29.710937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s>
  <sheetData>
    <row r="1" spans="1:10" x14ac:dyDescent="0.25">
      <c r="A1" t="s">
        <v>420</v>
      </c>
    </row>
    <row r="2" spans="1:10" ht="15.75" thickBot="1" x14ac:dyDescent="0.3"/>
    <row r="3" spans="1:10" ht="15.75" thickBot="1" x14ac:dyDescent="0.3">
      <c r="A3" s="287" t="s">
        <v>1232</v>
      </c>
      <c r="B3" s="288" t="s">
        <v>422</v>
      </c>
      <c r="C3" s="469" t="s">
        <v>423</v>
      </c>
      <c r="D3" s="470"/>
      <c r="E3" s="470"/>
      <c r="F3" s="471"/>
      <c r="G3" s="472" t="s">
        <v>424</v>
      </c>
      <c r="H3" s="470"/>
      <c r="I3" s="470"/>
      <c r="J3" s="473"/>
    </row>
    <row r="4" spans="1:10" ht="15.75" thickBot="1" x14ac:dyDescent="0.3">
      <c r="A4" s="287"/>
      <c r="B4" s="288"/>
      <c r="C4" s="469" t="s">
        <v>425</v>
      </c>
      <c r="D4" s="471"/>
      <c r="E4" s="472" t="s">
        <v>426</v>
      </c>
      <c r="F4" s="470"/>
      <c r="G4" s="470"/>
      <c r="H4" s="471"/>
      <c r="I4" s="472" t="s">
        <v>427</v>
      </c>
      <c r="J4" s="473"/>
    </row>
    <row r="5" spans="1:10" ht="15.75" thickBot="1" x14ac:dyDescent="0.3">
      <c r="A5" s="289"/>
      <c r="B5" s="290"/>
      <c r="C5" s="289" t="s">
        <v>1233</v>
      </c>
      <c r="D5" s="289" t="s">
        <v>429</v>
      </c>
      <c r="E5" s="289" t="s">
        <v>1233</v>
      </c>
      <c r="F5" s="289" t="s">
        <v>429</v>
      </c>
      <c r="G5" s="289" t="s">
        <v>1233</v>
      </c>
      <c r="H5" s="289" t="s">
        <v>429</v>
      </c>
      <c r="I5" s="289" t="s">
        <v>1233</v>
      </c>
      <c r="J5" s="290" t="s">
        <v>429</v>
      </c>
    </row>
    <row r="6" spans="1:10" ht="15.75" thickBot="1" x14ac:dyDescent="0.3">
      <c r="A6" s="291" t="s">
        <v>261</v>
      </c>
      <c r="B6" s="292" t="s">
        <v>431</v>
      </c>
      <c r="C6" s="293"/>
      <c r="D6" s="293"/>
      <c r="E6" s="293">
        <v>50</v>
      </c>
      <c r="F6" s="294">
        <v>311833</v>
      </c>
      <c r="G6" s="293">
        <v>60</v>
      </c>
      <c r="H6" s="294">
        <v>252919</v>
      </c>
      <c r="I6" s="293">
        <v>76</v>
      </c>
      <c r="J6" s="294">
        <v>228370</v>
      </c>
    </row>
    <row r="7" spans="1:10" ht="15.75" thickBot="1" x14ac:dyDescent="0.3">
      <c r="A7" s="291" t="s">
        <v>261</v>
      </c>
      <c r="B7" s="292" t="s">
        <v>1243</v>
      </c>
      <c r="C7" s="295"/>
      <c r="D7" s="295"/>
      <c r="E7" s="295"/>
      <c r="F7" s="295"/>
      <c r="G7" s="295"/>
      <c r="H7" s="295"/>
      <c r="I7" s="295">
        <v>27</v>
      </c>
      <c r="J7" s="296">
        <v>236836</v>
      </c>
    </row>
    <row r="8" spans="1:10" ht="15.75" thickBot="1" x14ac:dyDescent="0.3">
      <c r="A8" s="291" t="s">
        <v>261</v>
      </c>
      <c r="B8" s="292" t="s">
        <v>1245</v>
      </c>
      <c r="C8" s="293"/>
      <c r="D8" s="293"/>
      <c r="E8" s="293">
        <v>56</v>
      </c>
      <c r="F8" s="294">
        <v>354940</v>
      </c>
      <c r="G8" s="293">
        <v>71</v>
      </c>
      <c r="H8" s="294">
        <v>299114</v>
      </c>
      <c r="I8" s="293">
        <v>31</v>
      </c>
      <c r="J8" s="294">
        <v>232716</v>
      </c>
    </row>
    <row r="9" spans="1:10" ht="15.75" thickBot="1" x14ac:dyDescent="0.3">
      <c r="A9" s="297" t="s">
        <v>261</v>
      </c>
      <c r="B9" s="295" t="s">
        <v>125</v>
      </c>
      <c r="C9" s="295"/>
      <c r="D9" s="295"/>
      <c r="E9" s="295">
        <v>106</v>
      </c>
      <c r="F9" s="296">
        <v>334606</v>
      </c>
      <c r="G9" s="295">
        <v>131</v>
      </c>
      <c r="H9" s="296">
        <v>277956</v>
      </c>
      <c r="I9" s="295">
        <v>134</v>
      </c>
      <c r="J9" s="296">
        <v>231081</v>
      </c>
    </row>
  </sheetData>
  <mergeCells count="5">
    <mergeCell ref="C3:F3"/>
    <mergeCell ref="G3:J3"/>
    <mergeCell ref="C4:D4"/>
    <mergeCell ref="E4:H4"/>
    <mergeCell ref="I4:J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heetViews>
  <sheetFormatPr defaultRowHeight="15" x14ac:dyDescent="0.25"/>
  <cols>
    <col min="1" max="1" width="5" customWidth="1"/>
    <col min="2" max="2" width="29.7109375" bestFit="1" customWidth="1"/>
    <col min="3" max="3" width="26" hidden="1" customWidth="1"/>
    <col min="4" max="4" width="29.85546875" hidden="1" customWidth="1"/>
    <col min="5" max="5" width="26" hidden="1" customWidth="1"/>
    <col min="6" max="6" width="29.85546875" hidden="1" customWidth="1"/>
    <col min="7" max="7" width="26" bestFit="1" customWidth="1"/>
    <col min="8" max="8" width="29.85546875" bestFit="1" customWidth="1"/>
    <col min="9" max="9" width="26" bestFit="1" customWidth="1"/>
    <col min="10" max="10" width="29.85546875" bestFit="1" customWidth="1"/>
  </cols>
  <sheetData>
    <row r="1" spans="1:10" x14ac:dyDescent="0.25">
      <c r="A1" t="s">
        <v>420</v>
      </c>
    </row>
    <row r="2" spans="1:10" ht="15.75" thickBot="1" x14ac:dyDescent="0.3"/>
    <row r="3" spans="1:10" ht="15.75" thickBot="1" x14ac:dyDescent="0.3">
      <c r="A3" s="287" t="s">
        <v>1232</v>
      </c>
      <c r="B3" s="288" t="s">
        <v>422</v>
      </c>
      <c r="C3" s="469" t="s">
        <v>423</v>
      </c>
      <c r="D3" s="470"/>
      <c r="E3" s="470"/>
      <c r="F3" s="471"/>
      <c r="G3" s="472" t="s">
        <v>424</v>
      </c>
      <c r="H3" s="470"/>
      <c r="I3" s="470"/>
      <c r="J3" s="473"/>
    </row>
    <row r="4" spans="1:10" ht="15.75" thickBot="1" x14ac:dyDescent="0.3">
      <c r="A4" s="287"/>
      <c r="B4" s="288"/>
      <c r="C4" s="469" t="s">
        <v>425</v>
      </c>
      <c r="D4" s="471"/>
      <c r="E4" s="472" t="s">
        <v>426</v>
      </c>
      <c r="F4" s="470"/>
      <c r="G4" s="470"/>
      <c r="H4" s="471"/>
      <c r="I4" s="472" t="s">
        <v>427</v>
      </c>
      <c r="J4" s="473"/>
    </row>
    <row r="5" spans="1:10" ht="15.75" thickBot="1" x14ac:dyDescent="0.3">
      <c r="A5" s="289"/>
      <c r="B5" s="290"/>
      <c r="C5" s="289" t="s">
        <v>1233</v>
      </c>
      <c r="D5" s="289" t="s">
        <v>429</v>
      </c>
      <c r="E5" s="289" t="s">
        <v>1233</v>
      </c>
      <c r="F5" s="289" t="s">
        <v>429</v>
      </c>
      <c r="G5" s="289" t="s">
        <v>1233</v>
      </c>
      <c r="H5" s="289" t="s">
        <v>429</v>
      </c>
      <c r="I5" s="289" t="s">
        <v>1233</v>
      </c>
      <c r="J5" s="290" t="s">
        <v>429</v>
      </c>
    </row>
    <row r="6" spans="1:10" ht="15.75" thickBot="1" x14ac:dyDescent="0.3">
      <c r="A6" s="291" t="s">
        <v>265</v>
      </c>
      <c r="B6" s="292" t="s">
        <v>431</v>
      </c>
      <c r="C6" s="293"/>
      <c r="D6" s="293"/>
      <c r="E6" s="293">
        <v>212</v>
      </c>
      <c r="F6" s="294">
        <v>139599</v>
      </c>
      <c r="G6" s="293">
        <v>210</v>
      </c>
      <c r="H6" s="294">
        <v>102948</v>
      </c>
      <c r="I6" s="293">
        <v>183</v>
      </c>
      <c r="J6" s="294">
        <v>106644</v>
      </c>
    </row>
    <row r="7" spans="1:10" ht="15.75" thickBot="1" x14ac:dyDescent="0.3">
      <c r="A7" s="291" t="s">
        <v>265</v>
      </c>
      <c r="B7" s="292" t="s">
        <v>1243</v>
      </c>
      <c r="C7" s="295"/>
      <c r="D7" s="295"/>
      <c r="E7" s="295"/>
      <c r="F7" s="295"/>
      <c r="G7" s="295"/>
      <c r="H7" s="295"/>
      <c r="I7" s="295">
        <v>55</v>
      </c>
      <c r="J7" s="296">
        <v>129711</v>
      </c>
    </row>
    <row r="8" spans="1:10" ht="15.75" thickBot="1" x14ac:dyDescent="0.3">
      <c r="A8" s="291" t="s">
        <v>265</v>
      </c>
      <c r="B8" s="292" t="s">
        <v>1245</v>
      </c>
      <c r="C8" s="293"/>
      <c r="D8" s="293"/>
      <c r="E8" s="293">
        <v>138</v>
      </c>
      <c r="F8" s="294">
        <v>177726</v>
      </c>
      <c r="G8" s="293">
        <v>147</v>
      </c>
      <c r="H8" s="294">
        <v>127241</v>
      </c>
      <c r="I8" s="293">
        <v>74</v>
      </c>
      <c r="J8" s="294">
        <v>126207</v>
      </c>
    </row>
    <row r="9" spans="1:10" ht="15.75" thickBot="1" x14ac:dyDescent="0.3">
      <c r="A9" s="297" t="s">
        <v>265</v>
      </c>
      <c r="B9" s="295" t="s">
        <v>125</v>
      </c>
      <c r="C9" s="295"/>
      <c r="D9" s="295"/>
      <c r="E9" s="295">
        <v>350</v>
      </c>
      <c r="F9" s="296">
        <v>154632</v>
      </c>
      <c r="G9" s="295">
        <v>357</v>
      </c>
      <c r="H9" s="296">
        <v>112951</v>
      </c>
      <c r="I9" s="295">
        <v>312</v>
      </c>
      <c r="J9" s="296">
        <v>115350</v>
      </c>
    </row>
  </sheetData>
  <mergeCells count="5">
    <mergeCell ref="C3:F3"/>
    <mergeCell ref="G3:J3"/>
    <mergeCell ref="C4:D4"/>
    <mergeCell ref="E4:H4"/>
    <mergeCell ref="I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heetViews>
  <sheetFormatPr defaultRowHeight="15" x14ac:dyDescent="0.25"/>
  <cols>
    <col min="1" max="1" width="22" customWidth="1"/>
    <col min="2" max="2" width="10.42578125" bestFit="1" customWidth="1"/>
    <col min="3" max="3" width="11.7109375" bestFit="1" customWidth="1"/>
    <col min="4" max="4" width="11.7109375" customWidth="1"/>
  </cols>
  <sheetData>
    <row r="1" spans="1:5" ht="18.75" x14ac:dyDescent="0.3">
      <c r="A1" s="7" t="s">
        <v>120</v>
      </c>
    </row>
    <row r="3" spans="1:5" x14ac:dyDescent="0.25">
      <c r="A3" t="s">
        <v>121</v>
      </c>
    </row>
    <row r="4" spans="1:5" x14ac:dyDescent="0.25">
      <c r="B4" t="s">
        <v>122</v>
      </c>
      <c r="C4" t="s">
        <v>123</v>
      </c>
      <c r="D4" t="s">
        <v>124</v>
      </c>
      <c r="E4" t="s">
        <v>125</v>
      </c>
    </row>
    <row r="5" spans="1:5" x14ac:dyDescent="0.25">
      <c r="A5" t="s">
        <v>126</v>
      </c>
      <c r="B5">
        <v>4</v>
      </c>
      <c r="C5">
        <v>632</v>
      </c>
      <c r="D5" s="8">
        <v>1</v>
      </c>
      <c r="E5" s="9">
        <f t="shared" ref="E5:E6" si="0">+B5*C5*D5</f>
        <v>2528</v>
      </c>
    </row>
    <row r="6" spans="1:5" x14ac:dyDescent="0.25">
      <c r="A6" t="s">
        <v>127</v>
      </c>
      <c r="B6">
        <f>3*4</f>
        <v>12</v>
      </c>
      <c r="C6">
        <v>296</v>
      </c>
      <c r="D6" s="8">
        <v>1</v>
      </c>
      <c r="E6" s="9">
        <f t="shared" si="0"/>
        <v>3552</v>
      </c>
    </row>
    <row r="7" spans="1:5" x14ac:dyDescent="0.25">
      <c r="A7" t="s">
        <v>128</v>
      </c>
      <c r="B7">
        <v>0.5</v>
      </c>
      <c r="C7">
        <v>657</v>
      </c>
      <c r="D7" s="8">
        <v>0.36</v>
      </c>
      <c r="E7" s="9">
        <f>+B7*C7*D7</f>
        <v>118.25999999999999</v>
      </c>
    </row>
    <row r="8" spans="1:5" x14ac:dyDescent="0.25">
      <c r="A8" t="s">
        <v>129</v>
      </c>
      <c r="B8">
        <f>2*1.5</f>
        <v>3</v>
      </c>
      <c r="C8">
        <v>306</v>
      </c>
      <c r="D8" s="8">
        <v>0.36</v>
      </c>
      <c r="E8" s="9">
        <f>+B8*C8*D8</f>
        <v>330.47999999999996</v>
      </c>
    </row>
    <row r="9" spans="1:5" x14ac:dyDescent="0.25">
      <c r="A9" t="s">
        <v>125</v>
      </c>
      <c r="E9" s="9">
        <f>SUM(E5:E8)</f>
        <v>6528.74</v>
      </c>
    </row>
    <row r="11" spans="1:5" x14ac:dyDescent="0.25">
      <c r="A11" t="s">
        <v>130</v>
      </c>
    </row>
    <row r="12" spans="1:5" x14ac:dyDescent="0.25">
      <c r="B12" t="s">
        <v>122</v>
      </c>
      <c r="C12" t="s">
        <v>123</v>
      </c>
      <c r="D12" t="s">
        <v>131</v>
      </c>
      <c r="E12" t="s">
        <v>125</v>
      </c>
    </row>
    <row r="13" spans="1:5" x14ac:dyDescent="0.25">
      <c r="A13" t="s">
        <v>126</v>
      </c>
      <c r="B13">
        <v>2</v>
      </c>
      <c r="C13">
        <v>632</v>
      </c>
      <c r="D13" s="8">
        <v>0.1</v>
      </c>
      <c r="E13" s="9">
        <f t="shared" ref="E13:E14" si="1">+B13*C13*D13</f>
        <v>126.4</v>
      </c>
    </row>
    <row r="14" spans="1:5" x14ac:dyDescent="0.25">
      <c r="A14" t="s">
        <v>127</v>
      </c>
      <c r="B14">
        <f>3*2</f>
        <v>6</v>
      </c>
      <c r="C14">
        <v>296</v>
      </c>
      <c r="D14" s="8">
        <v>0.1</v>
      </c>
      <c r="E14" s="9">
        <f t="shared" si="1"/>
        <v>177.60000000000002</v>
      </c>
    </row>
    <row r="15" spans="1:5" x14ac:dyDescent="0.25">
      <c r="A15" t="s">
        <v>125</v>
      </c>
      <c r="E15" s="9">
        <f>SUM(E13:E14)</f>
        <v>304</v>
      </c>
    </row>
    <row r="16" spans="1:5" x14ac:dyDescent="0.25">
      <c r="E16" s="9"/>
    </row>
    <row r="17" spans="1:5" x14ac:dyDescent="0.25">
      <c r="A17" t="s">
        <v>132</v>
      </c>
    </row>
    <row r="18" spans="1:5" x14ac:dyDescent="0.25">
      <c r="B18" t="s">
        <v>122</v>
      </c>
      <c r="C18" t="s">
        <v>123</v>
      </c>
      <c r="D18" t="s">
        <v>131</v>
      </c>
      <c r="E18" t="s">
        <v>125</v>
      </c>
    </row>
    <row r="19" spans="1:5" x14ac:dyDescent="0.25">
      <c r="A19" t="s">
        <v>126</v>
      </c>
      <c r="B19">
        <v>1</v>
      </c>
      <c r="C19">
        <v>632</v>
      </c>
      <c r="D19" s="8">
        <v>0.05</v>
      </c>
      <c r="E19" s="9">
        <f t="shared" ref="E19:E20" si="2">+B19*C19*D19</f>
        <v>31.6</v>
      </c>
    </row>
    <row r="20" spans="1:5" x14ac:dyDescent="0.25">
      <c r="A20" t="s">
        <v>127</v>
      </c>
      <c r="B20">
        <f>3*1</f>
        <v>3</v>
      </c>
      <c r="C20">
        <v>296</v>
      </c>
      <c r="D20" s="8">
        <v>0.05</v>
      </c>
      <c r="E20" s="9">
        <f t="shared" si="2"/>
        <v>44.400000000000006</v>
      </c>
    </row>
    <row r="21" spans="1:5" x14ac:dyDescent="0.25">
      <c r="A21" t="s">
        <v>125</v>
      </c>
      <c r="E21" s="9">
        <f>SUM(E19:E20)</f>
        <v>76</v>
      </c>
    </row>
    <row r="22" spans="1:5" x14ac:dyDescent="0.25">
      <c r="E22" s="9"/>
    </row>
    <row r="23" spans="1:5" x14ac:dyDescent="0.25">
      <c r="A23" t="s">
        <v>133</v>
      </c>
      <c r="C23" s="9">
        <v>4422</v>
      </c>
      <c r="D23" s="9"/>
    </row>
    <row r="24" spans="1:5" x14ac:dyDescent="0.25">
      <c r="A24" t="s">
        <v>134</v>
      </c>
      <c r="C24">
        <v>652</v>
      </c>
    </row>
    <row r="25" spans="1:5" x14ac:dyDescent="0.25">
      <c r="A25" t="s">
        <v>135</v>
      </c>
      <c r="C25" s="9">
        <v>36731</v>
      </c>
      <c r="D25" s="9"/>
    </row>
    <row r="27" spans="1:5" x14ac:dyDescent="0.25">
      <c r="A27" s="10" t="s">
        <v>136</v>
      </c>
      <c r="B27" s="10"/>
      <c r="C27" s="11">
        <f>+E9+E15+E21+C23+C24+C25</f>
        <v>48713.74</v>
      </c>
    </row>
    <row r="30" spans="1:5" x14ac:dyDescent="0.25">
      <c r="A30" t="s">
        <v>137</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workbookViewId="0">
      <selection activeCell="D18" sqref="D18"/>
    </sheetView>
  </sheetViews>
  <sheetFormatPr defaultRowHeight="15" x14ac:dyDescent="0.25"/>
  <cols>
    <col min="1" max="1" width="36.28515625" style="19" customWidth="1"/>
    <col min="2" max="2" width="9.140625" style="19"/>
    <col min="3" max="3" width="12.42578125" style="19" customWidth="1"/>
    <col min="4" max="5" width="9.140625" style="19"/>
    <col min="6" max="6" width="91.7109375" style="19" customWidth="1"/>
    <col min="7" max="256" width="9.140625" style="19"/>
    <col min="257" max="257" width="36.28515625" style="19" customWidth="1"/>
    <col min="258" max="258" width="9.140625" style="19"/>
    <col min="259" max="259" width="12.42578125" style="19" customWidth="1"/>
    <col min="260" max="261" width="9.140625" style="19"/>
    <col min="262" max="262" width="91.7109375" style="19" customWidth="1"/>
    <col min="263" max="512" width="9.140625" style="19"/>
    <col min="513" max="513" width="36.28515625" style="19" customWidth="1"/>
    <col min="514" max="514" width="9.140625" style="19"/>
    <col min="515" max="515" width="12.42578125" style="19" customWidth="1"/>
    <col min="516" max="517" width="9.140625" style="19"/>
    <col min="518" max="518" width="91.7109375" style="19" customWidth="1"/>
    <col min="519" max="768" width="9.140625" style="19"/>
    <col min="769" max="769" width="36.28515625" style="19" customWidth="1"/>
    <col min="770" max="770" width="9.140625" style="19"/>
    <col min="771" max="771" width="12.42578125" style="19" customWidth="1"/>
    <col min="772" max="773" width="9.140625" style="19"/>
    <col min="774" max="774" width="91.7109375" style="19" customWidth="1"/>
    <col min="775" max="1024" width="9.140625" style="19"/>
    <col min="1025" max="1025" width="36.28515625" style="19" customWidth="1"/>
    <col min="1026" max="1026" width="9.140625" style="19"/>
    <col min="1027" max="1027" width="12.42578125" style="19" customWidth="1"/>
    <col min="1028" max="1029" width="9.140625" style="19"/>
    <col min="1030" max="1030" width="91.7109375" style="19" customWidth="1"/>
    <col min="1031" max="1280" width="9.140625" style="19"/>
    <col min="1281" max="1281" width="36.28515625" style="19" customWidth="1"/>
    <col min="1282" max="1282" width="9.140625" style="19"/>
    <col min="1283" max="1283" width="12.42578125" style="19" customWidth="1"/>
    <col min="1284" max="1285" width="9.140625" style="19"/>
    <col min="1286" max="1286" width="91.7109375" style="19" customWidth="1"/>
    <col min="1287" max="1536" width="9.140625" style="19"/>
    <col min="1537" max="1537" width="36.28515625" style="19" customWidth="1"/>
    <col min="1538" max="1538" width="9.140625" style="19"/>
    <col min="1539" max="1539" width="12.42578125" style="19" customWidth="1"/>
    <col min="1540" max="1541" width="9.140625" style="19"/>
    <col min="1542" max="1542" width="91.7109375" style="19" customWidth="1"/>
    <col min="1543" max="1792" width="9.140625" style="19"/>
    <col min="1793" max="1793" width="36.28515625" style="19" customWidth="1"/>
    <col min="1794" max="1794" width="9.140625" style="19"/>
    <col min="1795" max="1795" width="12.42578125" style="19" customWidth="1"/>
    <col min="1796" max="1797" width="9.140625" style="19"/>
    <col min="1798" max="1798" width="91.7109375" style="19" customWidth="1"/>
    <col min="1799" max="2048" width="9.140625" style="19"/>
    <col min="2049" max="2049" width="36.28515625" style="19" customWidth="1"/>
    <col min="2050" max="2050" width="9.140625" style="19"/>
    <col min="2051" max="2051" width="12.42578125" style="19" customWidth="1"/>
    <col min="2052" max="2053" width="9.140625" style="19"/>
    <col min="2054" max="2054" width="91.7109375" style="19" customWidth="1"/>
    <col min="2055" max="2304" width="9.140625" style="19"/>
    <col min="2305" max="2305" width="36.28515625" style="19" customWidth="1"/>
    <col min="2306" max="2306" width="9.140625" style="19"/>
    <col min="2307" max="2307" width="12.42578125" style="19" customWidth="1"/>
    <col min="2308" max="2309" width="9.140625" style="19"/>
    <col min="2310" max="2310" width="91.7109375" style="19" customWidth="1"/>
    <col min="2311" max="2560" width="9.140625" style="19"/>
    <col min="2561" max="2561" width="36.28515625" style="19" customWidth="1"/>
    <col min="2562" max="2562" width="9.140625" style="19"/>
    <col min="2563" max="2563" width="12.42578125" style="19" customWidth="1"/>
    <col min="2564" max="2565" width="9.140625" style="19"/>
    <col min="2566" max="2566" width="91.7109375" style="19" customWidth="1"/>
    <col min="2567" max="2816" width="9.140625" style="19"/>
    <col min="2817" max="2817" width="36.28515625" style="19" customWidth="1"/>
    <col min="2818" max="2818" width="9.140625" style="19"/>
    <col min="2819" max="2819" width="12.42578125" style="19" customWidth="1"/>
    <col min="2820" max="2821" width="9.140625" style="19"/>
    <col min="2822" max="2822" width="91.7109375" style="19" customWidth="1"/>
    <col min="2823" max="3072" width="9.140625" style="19"/>
    <col min="3073" max="3073" width="36.28515625" style="19" customWidth="1"/>
    <col min="3074" max="3074" width="9.140625" style="19"/>
    <col min="3075" max="3075" width="12.42578125" style="19" customWidth="1"/>
    <col min="3076" max="3077" width="9.140625" style="19"/>
    <col min="3078" max="3078" width="91.7109375" style="19" customWidth="1"/>
    <col min="3079" max="3328" width="9.140625" style="19"/>
    <col min="3329" max="3329" width="36.28515625" style="19" customWidth="1"/>
    <col min="3330" max="3330" width="9.140625" style="19"/>
    <col min="3331" max="3331" width="12.42578125" style="19" customWidth="1"/>
    <col min="3332" max="3333" width="9.140625" style="19"/>
    <col min="3334" max="3334" width="91.7109375" style="19" customWidth="1"/>
    <col min="3335" max="3584" width="9.140625" style="19"/>
    <col min="3585" max="3585" width="36.28515625" style="19" customWidth="1"/>
    <col min="3586" max="3586" width="9.140625" style="19"/>
    <col min="3587" max="3587" width="12.42578125" style="19" customWidth="1"/>
    <col min="3588" max="3589" width="9.140625" style="19"/>
    <col min="3590" max="3590" width="91.7109375" style="19" customWidth="1"/>
    <col min="3591" max="3840" width="9.140625" style="19"/>
    <col min="3841" max="3841" width="36.28515625" style="19" customWidth="1"/>
    <col min="3842" max="3842" width="9.140625" style="19"/>
    <col min="3843" max="3843" width="12.42578125" style="19" customWidth="1"/>
    <col min="3844" max="3845" width="9.140625" style="19"/>
    <col min="3846" max="3846" width="91.7109375" style="19" customWidth="1"/>
    <col min="3847" max="4096" width="9.140625" style="19"/>
    <col min="4097" max="4097" width="36.28515625" style="19" customWidth="1"/>
    <col min="4098" max="4098" width="9.140625" style="19"/>
    <col min="4099" max="4099" width="12.42578125" style="19" customWidth="1"/>
    <col min="4100" max="4101" width="9.140625" style="19"/>
    <col min="4102" max="4102" width="91.7109375" style="19" customWidth="1"/>
    <col min="4103" max="4352" width="9.140625" style="19"/>
    <col min="4353" max="4353" width="36.28515625" style="19" customWidth="1"/>
    <col min="4354" max="4354" width="9.140625" style="19"/>
    <col min="4355" max="4355" width="12.42578125" style="19" customWidth="1"/>
    <col min="4356" max="4357" width="9.140625" style="19"/>
    <col min="4358" max="4358" width="91.7109375" style="19" customWidth="1"/>
    <col min="4359" max="4608" width="9.140625" style="19"/>
    <col min="4609" max="4609" width="36.28515625" style="19" customWidth="1"/>
    <col min="4610" max="4610" width="9.140625" style="19"/>
    <col min="4611" max="4611" width="12.42578125" style="19" customWidth="1"/>
    <col min="4612" max="4613" width="9.140625" style="19"/>
    <col min="4614" max="4614" width="91.7109375" style="19" customWidth="1"/>
    <col min="4615" max="4864" width="9.140625" style="19"/>
    <col min="4865" max="4865" width="36.28515625" style="19" customWidth="1"/>
    <col min="4866" max="4866" width="9.140625" style="19"/>
    <col min="4867" max="4867" width="12.42578125" style="19" customWidth="1"/>
    <col min="4868" max="4869" width="9.140625" style="19"/>
    <col min="4870" max="4870" width="91.7109375" style="19" customWidth="1"/>
    <col min="4871" max="5120" width="9.140625" style="19"/>
    <col min="5121" max="5121" width="36.28515625" style="19" customWidth="1"/>
    <col min="5122" max="5122" width="9.140625" style="19"/>
    <col min="5123" max="5123" width="12.42578125" style="19" customWidth="1"/>
    <col min="5124" max="5125" width="9.140625" style="19"/>
    <col min="5126" max="5126" width="91.7109375" style="19" customWidth="1"/>
    <col min="5127" max="5376" width="9.140625" style="19"/>
    <col min="5377" max="5377" width="36.28515625" style="19" customWidth="1"/>
    <col min="5378" max="5378" width="9.140625" style="19"/>
    <col min="5379" max="5379" width="12.42578125" style="19" customWidth="1"/>
    <col min="5380" max="5381" width="9.140625" style="19"/>
    <col min="5382" max="5382" width="91.7109375" style="19" customWidth="1"/>
    <col min="5383" max="5632" width="9.140625" style="19"/>
    <col min="5633" max="5633" width="36.28515625" style="19" customWidth="1"/>
    <col min="5634" max="5634" width="9.140625" style="19"/>
    <col min="5635" max="5635" width="12.42578125" style="19" customWidth="1"/>
    <col min="5636" max="5637" width="9.140625" style="19"/>
    <col min="5638" max="5638" width="91.7109375" style="19" customWidth="1"/>
    <col min="5639" max="5888" width="9.140625" style="19"/>
    <col min="5889" max="5889" width="36.28515625" style="19" customWidth="1"/>
    <col min="5890" max="5890" width="9.140625" style="19"/>
    <col min="5891" max="5891" width="12.42578125" style="19" customWidth="1"/>
    <col min="5892" max="5893" width="9.140625" style="19"/>
    <col min="5894" max="5894" width="91.7109375" style="19" customWidth="1"/>
    <col min="5895" max="6144" width="9.140625" style="19"/>
    <col min="6145" max="6145" width="36.28515625" style="19" customWidth="1"/>
    <col min="6146" max="6146" width="9.140625" style="19"/>
    <col min="6147" max="6147" width="12.42578125" style="19" customWidth="1"/>
    <col min="6148" max="6149" width="9.140625" style="19"/>
    <col min="6150" max="6150" width="91.7109375" style="19" customWidth="1"/>
    <col min="6151" max="6400" width="9.140625" style="19"/>
    <col min="6401" max="6401" width="36.28515625" style="19" customWidth="1"/>
    <col min="6402" max="6402" width="9.140625" style="19"/>
    <col min="6403" max="6403" width="12.42578125" style="19" customWidth="1"/>
    <col min="6404" max="6405" width="9.140625" style="19"/>
    <col min="6406" max="6406" width="91.7109375" style="19" customWidth="1"/>
    <col min="6407" max="6656" width="9.140625" style="19"/>
    <col min="6657" max="6657" width="36.28515625" style="19" customWidth="1"/>
    <col min="6658" max="6658" width="9.140625" style="19"/>
    <col min="6659" max="6659" width="12.42578125" style="19" customWidth="1"/>
    <col min="6660" max="6661" width="9.140625" style="19"/>
    <col min="6662" max="6662" width="91.7109375" style="19" customWidth="1"/>
    <col min="6663" max="6912" width="9.140625" style="19"/>
    <col min="6913" max="6913" width="36.28515625" style="19" customWidth="1"/>
    <col min="6914" max="6914" width="9.140625" style="19"/>
    <col min="6915" max="6915" width="12.42578125" style="19" customWidth="1"/>
    <col min="6916" max="6917" width="9.140625" style="19"/>
    <col min="6918" max="6918" width="91.7109375" style="19" customWidth="1"/>
    <col min="6919" max="7168" width="9.140625" style="19"/>
    <col min="7169" max="7169" width="36.28515625" style="19" customWidth="1"/>
    <col min="7170" max="7170" width="9.140625" style="19"/>
    <col min="7171" max="7171" width="12.42578125" style="19" customWidth="1"/>
    <col min="7172" max="7173" width="9.140625" style="19"/>
    <col min="7174" max="7174" width="91.7109375" style="19" customWidth="1"/>
    <col min="7175" max="7424" width="9.140625" style="19"/>
    <col min="7425" max="7425" width="36.28515625" style="19" customWidth="1"/>
    <col min="7426" max="7426" width="9.140625" style="19"/>
    <col min="7427" max="7427" width="12.42578125" style="19" customWidth="1"/>
    <col min="7428" max="7429" width="9.140625" style="19"/>
    <col min="7430" max="7430" width="91.7109375" style="19" customWidth="1"/>
    <col min="7431" max="7680" width="9.140625" style="19"/>
    <col min="7681" max="7681" width="36.28515625" style="19" customWidth="1"/>
    <col min="7682" max="7682" width="9.140625" style="19"/>
    <col min="7683" max="7683" width="12.42578125" style="19" customWidth="1"/>
    <col min="7684" max="7685" width="9.140625" style="19"/>
    <col min="7686" max="7686" width="91.7109375" style="19" customWidth="1"/>
    <col min="7687" max="7936" width="9.140625" style="19"/>
    <col min="7937" max="7937" width="36.28515625" style="19" customWidth="1"/>
    <col min="7938" max="7938" width="9.140625" style="19"/>
    <col min="7939" max="7939" width="12.42578125" style="19" customWidth="1"/>
    <col min="7940" max="7941" width="9.140625" style="19"/>
    <col min="7942" max="7942" width="91.7109375" style="19" customWidth="1"/>
    <col min="7943" max="8192" width="9.140625" style="19"/>
    <col min="8193" max="8193" width="36.28515625" style="19" customWidth="1"/>
    <col min="8194" max="8194" width="9.140625" style="19"/>
    <col min="8195" max="8195" width="12.42578125" style="19" customWidth="1"/>
    <col min="8196" max="8197" width="9.140625" style="19"/>
    <col min="8198" max="8198" width="91.7109375" style="19" customWidth="1"/>
    <col min="8199" max="8448" width="9.140625" style="19"/>
    <col min="8449" max="8449" width="36.28515625" style="19" customWidth="1"/>
    <col min="8450" max="8450" width="9.140625" style="19"/>
    <col min="8451" max="8451" width="12.42578125" style="19" customWidth="1"/>
    <col min="8452" max="8453" width="9.140625" style="19"/>
    <col min="8454" max="8454" width="91.7109375" style="19" customWidth="1"/>
    <col min="8455" max="8704" width="9.140625" style="19"/>
    <col min="8705" max="8705" width="36.28515625" style="19" customWidth="1"/>
    <col min="8706" max="8706" width="9.140625" style="19"/>
    <col min="8707" max="8707" width="12.42578125" style="19" customWidth="1"/>
    <col min="8708" max="8709" width="9.140625" style="19"/>
    <col min="8710" max="8710" width="91.7109375" style="19" customWidth="1"/>
    <col min="8711" max="8960" width="9.140625" style="19"/>
    <col min="8961" max="8961" width="36.28515625" style="19" customWidth="1"/>
    <col min="8962" max="8962" width="9.140625" style="19"/>
    <col min="8963" max="8963" width="12.42578125" style="19" customWidth="1"/>
    <col min="8964" max="8965" width="9.140625" style="19"/>
    <col min="8966" max="8966" width="91.7109375" style="19" customWidth="1"/>
    <col min="8967" max="9216" width="9.140625" style="19"/>
    <col min="9217" max="9217" width="36.28515625" style="19" customWidth="1"/>
    <col min="9218" max="9218" width="9.140625" style="19"/>
    <col min="9219" max="9219" width="12.42578125" style="19" customWidth="1"/>
    <col min="9220" max="9221" width="9.140625" style="19"/>
    <col min="9222" max="9222" width="91.7109375" style="19" customWidth="1"/>
    <col min="9223" max="9472" width="9.140625" style="19"/>
    <col min="9473" max="9473" width="36.28515625" style="19" customWidth="1"/>
    <col min="9474" max="9474" width="9.140625" style="19"/>
    <col min="9475" max="9475" width="12.42578125" style="19" customWidth="1"/>
    <col min="9476" max="9477" width="9.140625" style="19"/>
    <col min="9478" max="9478" width="91.7109375" style="19" customWidth="1"/>
    <col min="9479" max="9728" width="9.140625" style="19"/>
    <col min="9729" max="9729" width="36.28515625" style="19" customWidth="1"/>
    <col min="9730" max="9730" width="9.140625" style="19"/>
    <col min="9731" max="9731" width="12.42578125" style="19" customWidth="1"/>
    <col min="9732" max="9733" width="9.140625" style="19"/>
    <col min="9734" max="9734" width="91.7109375" style="19" customWidth="1"/>
    <col min="9735" max="9984" width="9.140625" style="19"/>
    <col min="9985" max="9985" width="36.28515625" style="19" customWidth="1"/>
    <col min="9986" max="9986" width="9.140625" style="19"/>
    <col min="9987" max="9987" width="12.42578125" style="19" customWidth="1"/>
    <col min="9988" max="9989" width="9.140625" style="19"/>
    <col min="9990" max="9990" width="91.7109375" style="19" customWidth="1"/>
    <col min="9991" max="10240" width="9.140625" style="19"/>
    <col min="10241" max="10241" width="36.28515625" style="19" customWidth="1"/>
    <col min="10242" max="10242" width="9.140625" style="19"/>
    <col min="10243" max="10243" width="12.42578125" style="19" customWidth="1"/>
    <col min="10244" max="10245" width="9.140625" style="19"/>
    <col min="10246" max="10246" width="91.7109375" style="19" customWidth="1"/>
    <col min="10247" max="10496" width="9.140625" style="19"/>
    <col min="10497" max="10497" width="36.28515625" style="19" customWidth="1"/>
    <col min="10498" max="10498" width="9.140625" style="19"/>
    <col min="10499" max="10499" width="12.42578125" style="19" customWidth="1"/>
    <col min="10500" max="10501" width="9.140625" style="19"/>
    <col min="10502" max="10502" width="91.7109375" style="19" customWidth="1"/>
    <col min="10503" max="10752" width="9.140625" style="19"/>
    <col min="10753" max="10753" width="36.28515625" style="19" customWidth="1"/>
    <col min="10754" max="10754" width="9.140625" style="19"/>
    <col min="10755" max="10755" width="12.42578125" style="19" customWidth="1"/>
    <col min="10756" max="10757" width="9.140625" style="19"/>
    <col min="10758" max="10758" width="91.7109375" style="19" customWidth="1"/>
    <col min="10759" max="11008" width="9.140625" style="19"/>
    <col min="11009" max="11009" width="36.28515625" style="19" customWidth="1"/>
    <col min="11010" max="11010" width="9.140625" style="19"/>
    <col min="11011" max="11011" width="12.42578125" style="19" customWidth="1"/>
    <col min="11012" max="11013" width="9.140625" style="19"/>
    <col min="11014" max="11014" width="91.7109375" style="19" customWidth="1"/>
    <col min="11015" max="11264" width="9.140625" style="19"/>
    <col min="11265" max="11265" width="36.28515625" style="19" customWidth="1"/>
    <col min="11266" max="11266" width="9.140625" style="19"/>
    <col min="11267" max="11267" width="12.42578125" style="19" customWidth="1"/>
    <col min="11268" max="11269" width="9.140625" style="19"/>
    <col min="11270" max="11270" width="91.7109375" style="19" customWidth="1"/>
    <col min="11271" max="11520" width="9.140625" style="19"/>
    <col min="11521" max="11521" width="36.28515625" style="19" customWidth="1"/>
    <col min="11522" max="11522" width="9.140625" style="19"/>
    <col min="11523" max="11523" width="12.42578125" style="19" customWidth="1"/>
    <col min="11524" max="11525" width="9.140625" style="19"/>
    <col min="11526" max="11526" width="91.7109375" style="19" customWidth="1"/>
    <col min="11527" max="11776" width="9.140625" style="19"/>
    <col min="11777" max="11777" width="36.28515625" style="19" customWidth="1"/>
    <col min="11778" max="11778" width="9.140625" style="19"/>
    <col min="11779" max="11779" width="12.42578125" style="19" customWidth="1"/>
    <col min="11780" max="11781" width="9.140625" style="19"/>
    <col min="11782" max="11782" width="91.7109375" style="19" customWidth="1"/>
    <col min="11783" max="12032" width="9.140625" style="19"/>
    <col min="12033" max="12033" width="36.28515625" style="19" customWidth="1"/>
    <col min="12034" max="12034" width="9.140625" style="19"/>
    <col min="12035" max="12035" width="12.42578125" style="19" customWidth="1"/>
    <col min="12036" max="12037" width="9.140625" style="19"/>
    <col min="12038" max="12038" width="91.7109375" style="19" customWidth="1"/>
    <col min="12039" max="12288" width="9.140625" style="19"/>
    <col min="12289" max="12289" width="36.28515625" style="19" customWidth="1"/>
    <col min="12290" max="12290" width="9.140625" style="19"/>
    <col min="12291" max="12291" width="12.42578125" style="19" customWidth="1"/>
    <col min="12292" max="12293" width="9.140625" style="19"/>
    <col min="12294" max="12294" width="91.7109375" style="19" customWidth="1"/>
    <col min="12295" max="12544" width="9.140625" style="19"/>
    <col min="12545" max="12545" width="36.28515625" style="19" customWidth="1"/>
    <col min="12546" max="12546" width="9.140625" style="19"/>
    <col min="12547" max="12547" width="12.42578125" style="19" customWidth="1"/>
    <col min="12548" max="12549" width="9.140625" style="19"/>
    <col min="12550" max="12550" width="91.7109375" style="19" customWidth="1"/>
    <col min="12551" max="12800" width="9.140625" style="19"/>
    <col min="12801" max="12801" width="36.28515625" style="19" customWidth="1"/>
    <col min="12802" max="12802" width="9.140625" style="19"/>
    <col min="12803" max="12803" width="12.42578125" style="19" customWidth="1"/>
    <col min="12804" max="12805" width="9.140625" style="19"/>
    <col min="12806" max="12806" width="91.7109375" style="19" customWidth="1"/>
    <col min="12807" max="13056" width="9.140625" style="19"/>
    <col min="13057" max="13057" width="36.28515625" style="19" customWidth="1"/>
    <col min="13058" max="13058" width="9.140625" style="19"/>
    <col min="13059" max="13059" width="12.42578125" style="19" customWidth="1"/>
    <col min="13060" max="13061" width="9.140625" style="19"/>
    <col min="13062" max="13062" width="91.7109375" style="19" customWidth="1"/>
    <col min="13063" max="13312" width="9.140625" style="19"/>
    <col min="13313" max="13313" width="36.28515625" style="19" customWidth="1"/>
    <col min="13314" max="13314" width="9.140625" style="19"/>
    <col min="13315" max="13315" width="12.42578125" style="19" customWidth="1"/>
    <col min="13316" max="13317" width="9.140625" style="19"/>
    <col min="13318" max="13318" width="91.7109375" style="19" customWidth="1"/>
    <col min="13319" max="13568" width="9.140625" style="19"/>
    <col min="13569" max="13569" width="36.28515625" style="19" customWidth="1"/>
    <col min="13570" max="13570" width="9.140625" style="19"/>
    <col min="13571" max="13571" width="12.42578125" style="19" customWidth="1"/>
    <col min="13572" max="13573" width="9.140625" style="19"/>
    <col min="13574" max="13574" width="91.7109375" style="19" customWidth="1"/>
    <col min="13575" max="13824" width="9.140625" style="19"/>
    <col min="13825" max="13825" width="36.28515625" style="19" customWidth="1"/>
    <col min="13826" max="13826" width="9.140625" style="19"/>
    <col min="13827" max="13827" width="12.42578125" style="19" customWidth="1"/>
    <col min="13828" max="13829" width="9.140625" style="19"/>
    <col min="13830" max="13830" width="91.7109375" style="19" customWidth="1"/>
    <col min="13831" max="14080" width="9.140625" style="19"/>
    <col min="14081" max="14081" width="36.28515625" style="19" customWidth="1"/>
    <col min="14082" max="14082" width="9.140625" style="19"/>
    <col min="14083" max="14083" width="12.42578125" style="19" customWidth="1"/>
    <col min="14084" max="14085" width="9.140625" style="19"/>
    <col min="14086" max="14086" width="91.7109375" style="19" customWidth="1"/>
    <col min="14087" max="14336" width="9.140625" style="19"/>
    <col min="14337" max="14337" width="36.28515625" style="19" customWidth="1"/>
    <col min="14338" max="14338" width="9.140625" style="19"/>
    <col min="14339" max="14339" width="12.42578125" style="19" customWidth="1"/>
    <col min="14340" max="14341" width="9.140625" style="19"/>
    <col min="14342" max="14342" width="91.7109375" style="19" customWidth="1"/>
    <col min="14343" max="14592" width="9.140625" style="19"/>
    <col min="14593" max="14593" width="36.28515625" style="19" customWidth="1"/>
    <col min="14594" max="14594" width="9.140625" style="19"/>
    <col min="14595" max="14595" width="12.42578125" style="19" customWidth="1"/>
    <col min="14596" max="14597" width="9.140625" style="19"/>
    <col min="14598" max="14598" width="91.7109375" style="19" customWidth="1"/>
    <col min="14599" max="14848" width="9.140625" style="19"/>
    <col min="14849" max="14849" width="36.28515625" style="19" customWidth="1"/>
    <col min="14850" max="14850" width="9.140625" style="19"/>
    <col min="14851" max="14851" width="12.42578125" style="19" customWidth="1"/>
    <col min="14852" max="14853" width="9.140625" style="19"/>
    <col min="14854" max="14854" width="91.7109375" style="19" customWidth="1"/>
    <col min="14855" max="15104" width="9.140625" style="19"/>
    <col min="15105" max="15105" width="36.28515625" style="19" customWidth="1"/>
    <col min="15106" max="15106" width="9.140625" style="19"/>
    <col min="15107" max="15107" width="12.42578125" style="19" customWidth="1"/>
    <col min="15108" max="15109" width="9.140625" style="19"/>
    <col min="15110" max="15110" width="91.7109375" style="19" customWidth="1"/>
    <col min="15111" max="15360" width="9.140625" style="19"/>
    <col min="15361" max="15361" width="36.28515625" style="19" customWidth="1"/>
    <col min="15362" max="15362" width="9.140625" style="19"/>
    <col min="15363" max="15363" width="12.42578125" style="19" customWidth="1"/>
    <col min="15364" max="15365" width="9.140625" style="19"/>
    <col min="15366" max="15366" width="91.7109375" style="19" customWidth="1"/>
    <col min="15367" max="15616" width="9.140625" style="19"/>
    <col min="15617" max="15617" width="36.28515625" style="19" customWidth="1"/>
    <col min="15618" max="15618" width="9.140625" style="19"/>
    <col min="15619" max="15619" width="12.42578125" style="19" customWidth="1"/>
    <col min="15620" max="15621" width="9.140625" style="19"/>
    <col min="15622" max="15622" width="91.7109375" style="19" customWidth="1"/>
    <col min="15623" max="15872" width="9.140625" style="19"/>
    <col min="15873" max="15873" width="36.28515625" style="19" customWidth="1"/>
    <col min="15874" max="15874" width="9.140625" style="19"/>
    <col min="15875" max="15875" width="12.42578125" style="19" customWidth="1"/>
    <col min="15876" max="15877" width="9.140625" style="19"/>
    <col min="15878" max="15878" width="91.7109375" style="19" customWidth="1"/>
    <col min="15879" max="16128" width="9.140625" style="19"/>
    <col min="16129" max="16129" width="36.28515625" style="19" customWidth="1"/>
    <col min="16130" max="16130" width="9.140625" style="19"/>
    <col min="16131" max="16131" width="12.42578125" style="19" customWidth="1"/>
    <col min="16132" max="16133" width="9.140625" style="19"/>
    <col min="16134" max="16134" width="91.7109375" style="19" customWidth="1"/>
    <col min="16135" max="16384" width="9.140625" style="19"/>
  </cols>
  <sheetData>
    <row r="1" spans="1:6" x14ac:dyDescent="0.25">
      <c r="A1" s="19" t="s">
        <v>444</v>
      </c>
    </row>
    <row r="2" spans="1:6" ht="18.75" x14ac:dyDescent="0.3">
      <c r="A2" s="18" t="s">
        <v>319</v>
      </c>
    </row>
    <row r="4" spans="1:6" x14ac:dyDescent="0.25">
      <c r="A4" s="19" t="s">
        <v>320</v>
      </c>
      <c r="C4" s="20" t="s">
        <v>321</v>
      </c>
    </row>
    <row r="5" spans="1:6" x14ac:dyDescent="0.25">
      <c r="A5" s="19" t="s">
        <v>322</v>
      </c>
      <c r="C5" s="19" t="s">
        <v>323</v>
      </c>
    </row>
    <row r="6" spans="1:6" x14ac:dyDescent="0.25">
      <c r="A6" s="20" t="s">
        <v>324</v>
      </c>
      <c r="B6" s="21" t="s">
        <v>215</v>
      </c>
      <c r="C6" s="22">
        <v>19538</v>
      </c>
      <c r="D6" s="20"/>
      <c r="E6" s="20"/>
      <c r="F6" s="20"/>
    </row>
    <row r="7" spans="1:6" x14ac:dyDescent="0.25">
      <c r="A7" s="19" t="s">
        <v>325</v>
      </c>
      <c r="C7" s="19">
        <v>3.5</v>
      </c>
      <c r="F7" s="19" t="s">
        <v>326</v>
      </c>
    </row>
    <row r="8" spans="1:6" x14ac:dyDescent="0.25">
      <c r="A8" s="19" t="s">
        <v>327</v>
      </c>
    </row>
    <row r="10" spans="1:6" ht="25.5" x14ac:dyDescent="0.25">
      <c r="A10" s="23" t="s">
        <v>328</v>
      </c>
      <c r="B10" s="23" t="s">
        <v>329</v>
      </c>
      <c r="C10" s="24" t="s">
        <v>330</v>
      </c>
      <c r="D10" s="23" t="s">
        <v>331</v>
      </c>
      <c r="E10" s="25"/>
      <c r="F10" s="23" t="s">
        <v>332</v>
      </c>
    </row>
    <row r="11" spans="1:6" x14ac:dyDescent="0.25">
      <c r="A11" s="26" t="s">
        <v>333</v>
      </c>
      <c r="B11" s="27">
        <v>3</v>
      </c>
      <c r="C11" s="28">
        <v>2.5</v>
      </c>
      <c r="D11" s="28">
        <f>B11*C11</f>
        <v>7.5</v>
      </c>
      <c r="E11" s="26"/>
      <c r="F11" s="26"/>
    </row>
    <row r="12" spans="1:6" x14ac:dyDescent="0.25">
      <c r="A12" s="26" t="s">
        <v>334</v>
      </c>
      <c r="B12" s="27">
        <v>3</v>
      </c>
      <c r="C12" s="28">
        <v>53.75</v>
      </c>
      <c r="D12" s="28">
        <f>B12*C12</f>
        <v>161.25</v>
      </c>
      <c r="E12" s="26"/>
      <c r="F12" s="26"/>
    </row>
    <row r="13" spans="1:6" x14ac:dyDescent="0.25">
      <c r="A13" s="26" t="s">
        <v>335</v>
      </c>
      <c r="B13" s="27">
        <v>6</v>
      </c>
      <c r="C13" s="28">
        <v>0.5</v>
      </c>
      <c r="D13" s="28">
        <f>B13*C13</f>
        <v>3</v>
      </c>
      <c r="E13" s="26"/>
      <c r="F13" s="26"/>
    </row>
    <row r="14" spans="1:6" x14ac:dyDescent="0.25">
      <c r="A14" s="26" t="s">
        <v>336</v>
      </c>
      <c r="B14" s="27">
        <v>6</v>
      </c>
      <c r="C14" s="28">
        <v>1.5</v>
      </c>
      <c r="D14" s="28">
        <f>B14*C14</f>
        <v>9</v>
      </c>
      <c r="E14" s="26"/>
      <c r="F14" s="26"/>
    </row>
    <row r="15" spans="1:6" x14ac:dyDescent="0.25">
      <c r="A15" s="26"/>
      <c r="B15" s="27"/>
      <c r="C15" s="28"/>
      <c r="D15" s="28"/>
      <c r="E15" s="26"/>
      <c r="F15" s="26"/>
    </row>
    <row r="16" spans="1:6" x14ac:dyDescent="0.25">
      <c r="A16" s="26" t="s">
        <v>337</v>
      </c>
      <c r="B16" s="27">
        <v>6</v>
      </c>
      <c r="C16" s="28">
        <v>10.5</v>
      </c>
      <c r="D16" s="28">
        <f t="shared" ref="D16:D36" si="0">B16*C16</f>
        <v>63</v>
      </c>
      <c r="E16" s="26"/>
      <c r="F16" s="26"/>
    </row>
    <row r="17" spans="1:6" x14ac:dyDescent="0.25">
      <c r="A17" s="26" t="s">
        <v>338</v>
      </c>
      <c r="B17" s="27">
        <v>1</v>
      </c>
      <c r="C17" s="28">
        <v>383</v>
      </c>
      <c r="D17" s="28">
        <f t="shared" si="0"/>
        <v>383</v>
      </c>
      <c r="E17" s="26"/>
      <c r="F17" s="26" t="s">
        <v>339</v>
      </c>
    </row>
    <row r="18" spans="1:6" x14ac:dyDescent="0.25">
      <c r="A18" s="26" t="s">
        <v>340</v>
      </c>
      <c r="B18" s="27">
        <v>2</v>
      </c>
      <c r="C18" s="28">
        <v>18.75</v>
      </c>
      <c r="D18" s="28">
        <f t="shared" si="0"/>
        <v>37.5</v>
      </c>
      <c r="E18" s="26"/>
      <c r="F18" s="26"/>
    </row>
    <row r="19" spans="1:6" x14ac:dyDescent="0.25">
      <c r="A19" s="26" t="s">
        <v>341</v>
      </c>
      <c r="B19" s="27">
        <v>1</v>
      </c>
      <c r="C19" s="28">
        <v>2.5</v>
      </c>
      <c r="D19" s="28">
        <f t="shared" si="0"/>
        <v>2.5</v>
      </c>
      <c r="E19" s="26"/>
      <c r="F19" s="26"/>
    </row>
    <row r="20" spans="1:6" x14ac:dyDescent="0.25">
      <c r="A20" s="26" t="s">
        <v>342</v>
      </c>
      <c r="B20" s="27">
        <v>1</v>
      </c>
      <c r="C20" s="28">
        <v>50</v>
      </c>
      <c r="D20" s="28">
        <f t="shared" si="0"/>
        <v>50</v>
      </c>
      <c r="E20" s="26"/>
      <c r="F20" s="26"/>
    </row>
    <row r="21" spans="1:6" x14ac:dyDescent="0.25">
      <c r="A21" s="26" t="s">
        <v>343</v>
      </c>
      <c r="B21" s="27">
        <v>1</v>
      </c>
      <c r="C21" s="28">
        <v>0.8</v>
      </c>
      <c r="D21" s="28">
        <f t="shared" si="0"/>
        <v>0.8</v>
      </c>
      <c r="E21" s="26"/>
      <c r="F21" s="26"/>
    </row>
    <row r="22" spans="1:6" x14ac:dyDescent="0.25">
      <c r="A22" s="26" t="s">
        <v>344</v>
      </c>
      <c r="B22" s="27">
        <v>1</v>
      </c>
      <c r="C22" s="28">
        <v>0.28000000000000003</v>
      </c>
      <c r="D22" s="28">
        <f t="shared" si="0"/>
        <v>0.28000000000000003</v>
      </c>
      <c r="E22" s="26"/>
      <c r="F22" s="26"/>
    </row>
    <row r="23" spans="1:6" x14ac:dyDescent="0.25">
      <c r="A23" s="26" t="s">
        <v>345</v>
      </c>
      <c r="B23" s="27">
        <v>1</v>
      </c>
      <c r="C23" s="28">
        <v>0.28000000000000003</v>
      </c>
      <c r="D23" s="28">
        <f t="shared" si="0"/>
        <v>0.28000000000000003</v>
      </c>
      <c r="E23" s="26"/>
      <c r="F23" s="26"/>
    </row>
    <row r="24" spans="1:6" x14ac:dyDescent="0.25">
      <c r="A24" s="26" t="s">
        <v>346</v>
      </c>
      <c r="B24" s="27">
        <v>1</v>
      </c>
      <c r="C24" s="28">
        <v>68.25</v>
      </c>
      <c r="D24" s="28">
        <f t="shared" si="0"/>
        <v>68.25</v>
      </c>
      <c r="E24" s="26"/>
      <c r="F24" s="26"/>
    </row>
    <row r="25" spans="1:6" x14ac:dyDescent="0.25">
      <c r="A25" s="26" t="s">
        <v>347</v>
      </c>
      <c r="B25" s="27">
        <v>2</v>
      </c>
      <c r="C25" s="28">
        <v>0.75</v>
      </c>
      <c r="D25" s="28">
        <f t="shared" si="0"/>
        <v>1.5</v>
      </c>
      <c r="E25" s="26"/>
      <c r="F25" s="26"/>
    </row>
    <row r="26" spans="1:6" x14ac:dyDescent="0.25">
      <c r="A26" s="26" t="s">
        <v>348</v>
      </c>
      <c r="B26" s="27">
        <v>0.6</v>
      </c>
      <c r="C26" s="28">
        <v>5</v>
      </c>
      <c r="D26" s="28">
        <f t="shared" si="0"/>
        <v>3</v>
      </c>
      <c r="E26" s="26"/>
      <c r="F26" s="26"/>
    </row>
    <row r="27" spans="1:6" x14ac:dyDescent="0.25">
      <c r="A27" s="26" t="s">
        <v>349</v>
      </c>
      <c r="B27" s="27">
        <v>1</v>
      </c>
      <c r="C27" s="28">
        <v>312.5</v>
      </c>
      <c r="D27" s="28">
        <f t="shared" si="0"/>
        <v>312.5</v>
      </c>
      <c r="E27" s="26"/>
      <c r="F27" s="26"/>
    </row>
    <row r="28" spans="1:6" x14ac:dyDescent="0.25">
      <c r="A28" s="26" t="s">
        <v>350</v>
      </c>
      <c r="B28" s="27">
        <v>1</v>
      </c>
      <c r="C28" s="28">
        <v>1200</v>
      </c>
      <c r="D28" s="28">
        <f t="shared" si="0"/>
        <v>1200</v>
      </c>
      <c r="E28" s="26"/>
      <c r="F28" s="26"/>
    </row>
    <row r="29" spans="1:6" x14ac:dyDescent="0.25">
      <c r="A29" s="26" t="s">
        <v>351</v>
      </c>
      <c r="B29" s="27">
        <v>1</v>
      </c>
      <c r="C29" s="28">
        <v>1200</v>
      </c>
      <c r="D29" s="28">
        <f t="shared" si="0"/>
        <v>1200</v>
      </c>
      <c r="E29" s="26"/>
      <c r="F29" s="26"/>
    </row>
    <row r="30" spans="1:6" x14ac:dyDescent="0.25">
      <c r="A30" s="26" t="s">
        <v>352</v>
      </c>
      <c r="B30" s="27">
        <v>1</v>
      </c>
      <c r="C30" s="28">
        <v>1416</v>
      </c>
      <c r="D30" s="28">
        <f t="shared" si="0"/>
        <v>1416</v>
      </c>
      <c r="E30" s="26"/>
      <c r="F30" s="26"/>
    </row>
    <row r="31" spans="1:6" x14ac:dyDescent="0.25">
      <c r="A31" s="26" t="s">
        <v>353</v>
      </c>
      <c r="B31" s="27">
        <v>1</v>
      </c>
      <c r="C31" s="28">
        <v>3</v>
      </c>
      <c r="D31" s="28">
        <f t="shared" si="0"/>
        <v>3</v>
      </c>
      <c r="E31" s="26"/>
      <c r="F31" s="26"/>
    </row>
    <row r="32" spans="1:6" x14ac:dyDescent="0.25">
      <c r="A32" s="26" t="s">
        <v>354</v>
      </c>
      <c r="B32" s="27">
        <v>2</v>
      </c>
      <c r="C32" s="28">
        <v>2</v>
      </c>
      <c r="D32" s="28">
        <f t="shared" si="0"/>
        <v>4</v>
      </c>
      <c r="E32" s="26"/>
      <c r="F32" s="26" t="s">
        <v>355</v>
      </c>
    </row>
    <row r="33" spans="1:6" x14ac:dyDescent="0.25">
      <c r="A33" s="26" t="s">
        <v>356</v>
      </c>
      <c r="B33" s="27">
        <v>1</v>
      </c>
      <c r="C33" s="28">
        <v>1.75</v>
      </c>
      <c r="D33" s="28">
        <f t="shared" si="0"/>
        <v>1.75</v>
      </c>
      <c r="E33" s="26"/>
      <c r="F33" s="26"/>
    </row>
    <row r="34" spans="1:6" x14ac:dyDescent="0.25">
      <c r="A34" s="26" t="s">
        <v>357</v>
      </c>
      <c r="B34" s="27">
        <v>1</v>
      </c>
      <c r="C34" s="28">
        <v>7</v>
      </c>
      <c r="D34" s="28">
        <f t="shared" si="0"/>
        <v>7</v>
      </c>
      <c r="E34" s="26"/>
      <c r="F34" s="26"/>
    </row>
    <row r="35" spans="1:6" x14ac:dyDescent="0.25">
      <c r="A35" s="26" t="s">
        <v>358</v>
      </c>
      <c r="B35" s="27">
        <v>1</v>
      </c>
      <c r="C35" s="28">
        <v>7</v>
      </c>
      <c r="D35" s="28">
        <f t="shared" si="0"/>
        <v>7</v>
      </c>
      <c r="E35" s="26"/>
      <c r="F35" s="26"/>
    </row>
    <row r="36" spans="1:6" x14ac:dyDescent="0.25">
      <c r="A36" s="26" t="s">
        <v>359</v>
      </c>
      <c r="B36" s="27">
        <v>1</v>
      </c>
      <c r="C36" s="28">
        <v>0.5</v>
      </c>
      <c r="D36" s="28">
        <f t="shared" si="0"/>
        <v>0.5</v>
      </c>
      <c r="E36" s="26"/>
      <c r="F36" s="26"/>
    </row>
    <row r="37" spans="1:6" x14ac:dyDescent="0.25">
      <c r="A37" s="26" t="s">
        <v>360</v>
      </c>
      <c r="B37" s="27"/>
      <c r="C37" s="28"/>
      <c r="D37" s="28"/>
      <c r="E37" s="26"/>
      <c r="F37" s="26"/>
    </row>
    <row r="38" spans="1:6" x14ac:dyDescent="0.25">
      <c r="A38" s="26" t="s">
        <v>361</v>
      </c>
      <c r="B38" s="27">
        <v>3</v>
      </c>
      <c r="C38" s="28">
        <v>191.25</v>
      </c>
      <c r="D38" s="28">
        <f>B38*C38</f>
        <v>573.75</v>
      </c>
      <c r="E38" s="26"/>
      <c r="F38" s="26"/>
    </row>
    <row r="39" spans="1:6" x14ac:dyDescent="0.25">
      <c r="A39" s="26" t="s">
        <v>362</v>
      </c>
      <c r="B39" s="27">
        <v>1</v>
      </c>
      <c r="C39" s="28">
        <v>54</v>
      </c>
      <c r="D39" s="28">
        <f>B39*C39</f>
        <v>54</v>
      </c>
      <c r="E39" s="26"/>
      <c r="F39" s="26"/>
    </row>
    <row r="40" spans="1:6" x14ac:dyDescent="0.25">
      <c r="A40" s="26" t="s">
        <v>363</v>
      </c>
      <c r="B40" s="27">
        <v>1</v>
      </c>
      <c r="C40" s="28">
        <v>28</v>
      </c>
      <c r="D40" s="28">
        <f>B40*C40</f>
        <v>28</v>
      </c>
      <c r="E40" s="26"/>
      <c r="F40" s="26"/>
    </row>
    <row r="41" spans="1:6" x14ac:dyDescent="0.25">
      <c r="A41" s="26"/>
      <c r="B41" s="27"/>
      <c r="C41" s="28"/>
      <c r="D41" s="28"/>
      <c r="E41" s="26"/>
      <c r="F41" s="26"/>
    </row>
    <row r="42" spans="1:6" x14ac:dyDescent="0.25">
      <c r="A42" s="26" t="s">
        <v>364</v>
      </c>
      <c r="B42" s="27">
        <v>1</v>
      </c>
      <c r="C42" s="28">
        <v>10</v>
      </c>
      <c r="D42" s="28">
        <f t="shared" ref="D42:D54" si="1">B42*C42</f>
        <v>10</v>
      </c>
      <c r="E42" s="26"/>
      <c r="F42" s="26"/>
    </row>
    <row r="43" spans="1:6" x14ac:dyDescent="0.25">
      <c r="A43" s="26" t="s">
        <v>365</v>
      </c>
      <c r="B43" s="27">
        <v>2</v>
      </c>
      <c r="C43" s="28">
        <v>1245</v>
      </c>
      <c r="D43" s="28">
        <f t="shared" si="1"/>
        <v>2490</v>
      </c>
      <c r="E43" s="26"/>
      <c r="F43" s="26" t="s">
        <v>366</v>
      </c>
    </row>
    <row r="44" spans="1:6" x14ac:dyDescent="0.25">
      <c r="A44" s="26" t="s">
        <v>367</v>
      </c>
      <c r="B44" s="27">
        <v>0.1</v>
      </c>
      <c r="C44" s="28">
        <v>5.5</v>
      </c>
      <c r="D44" s="28">
        <f t="shared" si="1"/>
        <v>0.55000000000000004</v>
      </c>
      <c r="E44" s="26"/>
      <c r="F44" s="26"/>
    </row>
    <row r="45" spans="1:6" x14ac:dyDescent="0.25">
      <c r="A45" s="26" t="s">
        <v>368</v>
      </c>
      <c r="B45" s="27">
        <v>2</v>
      </c>
      <c r="C45" s="28">
        <v>8.75</v>
      </c>
      <c r="D45" s="28">
        <f t="shared" si="1"/>
        <v>17.5</v>
      </c>
      <c r="E45" s="26"/>
      <c r="F45" s="26"/>
    </row>
    <row r="46" spans="1:6" x14ac:dyDescent="0.25">
      <c r="A46" s="26" t="s">
        <v>369</v>
      </c>
      <c r="B46" s="27">
        <v>1</v>
      </c>
      <c r="C46" s="28">
        <v>31.75</v>
      </c>
      <c r="D46" s="28">
        <f t="shared" si="1"/>
        <v>31.75</v>
      </c>
      <c r="E46" s="26"/>
      <c r="F46" s="26"/>
    </row>
    <row r="47" spans="1:6" x14ac:dyDescent="0.25">
      <c r="A47" s="26" t="s">
        <v>370</v>
      </c>
      <c r="B47" s="27">
        <v>1</v>
      </c>
      <c r="C47" s="28">
        <v>60</v>
      </c>
      <c r="D47" s="28">
        <f t="shared" si="1"/>
        <v>60</v>
      </c>
      <c r="E47" s="26"/>
      <c r="F47" s="26"/>
    </row>
    <row r="48" spans="1:6" x14ac:dyDescent="0.25">
      <c r="A48" s="26" t="s">
        <v>371</v>
      </c>
      <c r="B48" s="27">
        <v>1</v>
      </c>
      <c r="C48" s="28">
        <v>18.75</v>
      </c>
      <c r="D48" s="28">
        <f t="shared" si="1"/>
        <v>18.75</v>
      </c>
      <c r="E48" s="26"/>
      <c r="F48" s="26"/>
    </row>
    <row r="49" spans="1:6" x14ac:dyDescent="0.25">
      <c r="A49" s="26" t="s">
        <v>372</v>
      </c>
      <c r="B49" s="27">
        <v>1</v>
      </c>
      <c r="C49" s="28">
        <v>5</v>
      </c>
      <c r="D49" s="28">
        <f t="shared" si="1"/>
        <v>5</v>
      </c>
      <c r="E49" s="26"/>
      <c r="F49" s="26"/>
    </row>
    <row r="50" spans="1:6" x14ac:dyDescent="0.25">
      <c r="A50" s="26" t="s">
        <v>373</v>
      </c>
      <c r="B50" s="27">
        <v>1</v>
      </c>
      <c r="C50" s="28">
        <v>27</v>
      </c>
      <c r="D50" s="28">
        <f t="shared" si="1"/>
        <v>27</v>
      </c>
      <c r="E50" s="26"/>
      <c r="F50" s="26"/>
    </row>
    <row r="51" spans="1:6" x14ac:dyDescent="0.25">
      <c r="A51" s="26" t="s">
        <v>374</v>
      </c>
      <c r="B51" s="27">
        <v>1</v>
      </c>
      <c r="C51" s="28">
        <v>41.75</v>
      </c>
      <c r="D51" s="28">
        <f t="shared" si="1"/>
        <v>41.75</v>
      </c>
      <c r="E51" s="26"/>
      <c r="F51" s="26"/>
    </row>
    <row r="52" spans="1:6" x14ac:dyDescent="0.25">
      <c r="A52" s="26" t="s">
        <v>375</v>
      </c>
      <c r="B52" s="27">
        <v>1</v>
      </c>
      <c r="C52" s="28">
        <v>9</v>
      </c>
      <c r="D52" s="28">
        <f t="shared" si="1"/>
        <v>9</v>
      </c>
      <c r="E52" s="26"/>
      <c r="F52" s="26"/>
    </row>
    <row r="53" spans="1:6" x14ac:dyDescent="0.25">
      <c r="A53" s="26" t="s">
        <v>376</v>
      </c>
      <c r="B53" s="27">
        <v>1</v>
      </c>
      <c r="C53" s="28">
        <v>5</v>
      </c>
      <c r="D53" s="28">
        <f t="shared" si="1"/>
        <v>5</v>
      </c>
      <c r="E53" s="26"/>
      <c r="F53" s="26"/>
    </row>
    <row r="54" spans="1:6" x14ac:dyDescent="0.25">
      <c r="A54" s="26" t="s">
        <v>377</v>
      </c>
      <c r="B54" s="27">
        <v>2</v>
      </c>
      <c r="C54" s="28">
        <v>5</v>
      </c>
      <c r="D54" s="28">
        <f t="shared" si="1"/>
        <v>10</v>
      </c>
      <c r="E54" s="26"/>
      <c r="F54" s="26"/>
    </row>
    <row r="55" spans="1:6" x14ac:dyDescent="0.25">
      <c r="A55" s="26"/>
      <c r="B55" s="27"/>
      <c r="C55" s="28"/>
      <c r="D55" s="28"/>
      <c r="E55" s="26"/>
      <c r="F55" s="26"/>
    </row>
    <row r="56" spans="1:6" x14ac:dyDescent="0.25">
      <c r="A56" s="26" t="s">
        <v>378</v>
      </c>
      <c r="B56" s="29">
        <v>3</v>
      </c>
      <c r="C56" s="30">
        <v>1472</v>
      </c>
      <c r="D56" s="28">
        <f>B56*C56</f>
        <v>4416</v>
      </c>
      <c r="E56" s="26"/>
      <c r="F56" s="26" t="s">
        <v>379</v>
      </c>
    </row>
    <row r="57" spans="1:6" x14ac:dyDescent="0.25">
      <c r="A57" s="26" t="s">
        <v>380</v>
      </c>
      <c r="B57" s="29">
        <v>1</v>
      </c>
      <c r="C57" s="30">
        <v>925</v>
      </c>
      <c r="D57" s="28">
        <f>B57*C57</f>
        <v>925</v>
      </c>
      <c r="E57" s="26"/>
      <c r="F57" s="26"/>
    </row>
    <row r="58" spans="1:6" x14ac:dyDescent="0.25">
      <c r="A58" s="26"/>
      <c r="B58" s="29"/>
      <c r="C58" s="30"/>
      <c r="D58" s="28"/>
      <c r="E58" s="26"/>
      <c r="F58" s="26"/>
    </row>
    <row r="59" spans="1:6" x14ac:dyDescent="0.25">
      <c r="A59" s="26"/>
      <c r="B59" s="29"/>
      <c r="C59" s="30"/>
      <c r="D59" s="28"/>
      <c r="E59" s="26"/>
      <c r="F59" s="26"/>
    </row>
    <row r="60" spans="1:6" x14ac:dyDescent="0.25">
      <c r="A60" s="26" t="s">
        <v>381</v>
      </c>
      <c r="B60" s="29">
        <v>2</v>
      </c>
      <c r="C60" s="30">
        <v>90.43</v>
      </c>
      <c r="D60" s="28">
        <f>B60*C60</f>
        <v>180.86</v>
      </c>
      <c r="E60" s="26"/>
      <c r="F60" s="26"/>
    </row>
    <row r="61" spans="1:6" x14ac:dyDescent="0.25">
      <c r="A61" s="26"/>
      <c r="B61" s="29"/>
      <c r="C61" s="30"/>
      <c r="D61" s="28"/>
      <c r="E61" s="26"/>
      <c r="F61" s="26"/>
    </row>
    <row r="62" spans="1:6" x14ac:dyDescent="0.25">
      <c r="A62" s="26"/>
      <c r="B62" s="29"/>
      <c r="C62" s="30"/>
      <c r="D62" s="28"/>
      <c r="E62" s="26"/>
      <c r="F62" s="26"/>
    </row>
    <row r="63" spans="1:6" x14ac:dyDescent="0.25">
      <c r="A63" s="26"/>
      <c r="B63" s="26"/>
      <c r="C63" s="26"/>
      <c r="D63" s="28"/>
      <c r="E63" s="26"/>
      <c r="F63" s="26"/>
    </row>
    <row r="64" spans="1:6" x14ac:dyDescent="0.25">
      <c r="A64" s="26"/>
      <c r="B64" s="26"/>
      <c r="C64" s="26"/>
      <c r="D64" s="28"/>
      <c r="E64" s="26"/>
      <c r="F64" s="26"/>
    </row>
    <row r="65" spans="1:6" x14ac:dyDescent="0.25">
      <c r="A65" s="26"/>
      <c r="B65" s="26"/>
      <c r="C65" s="26"/>
      <c r="D65" s="28"/>
      <c r="E65" s="26"/>
      <c r="F65" s="26"/>
    </row>
    <row r="66" spans="1:6" x14ac:dyDescent="0.25">
      <c r="A66" s="26"/>
      <c r="B66" s="26"/>
      <c r="C66" s="26"/>
      <c r="D66" s="28"/>
      <c r="E66" s="26"/>
      <c r="F66" s="26"/>
    </row>
    <row r="67" spans="1:6" x14ac:dyDescent="0.25">
      <c r="A67" s="31" t="s">
        <v>382</v>
      </c>
      <c r="B67" s="26"/>
      <c r="C67" s="26"/>
      <c r="D67" s="28"/>
      <c r="E67" s="26"/>
      <c r="F67" s="26"/>
    </row>
    <row r="68" spans="1:6" x14ac:dyDescent="0.25">
      <c r="A68" s="26" t="s">
        <v>383</v>
      </c>
      <c r="B68" s="26">
        <v>1.6</v>
      </c>
      <c r="C68" s="26"/>
      <c r="D68" s="28">
        <f>C7*425*B68</f>
        <v>2380</v>
      </c>
      <c r="E68" s="26"/>
      <c r="F68" s="26" t="s">
        <v>384</v>
      </c>
    </row>
    <row r="69" spans="1:6" x14ac:dyDescent="0.25">
      <c r="A69" s="26" t="s">
        <v>385</v>
      </c>
      <c r="B69" s="26">
        <v>2</v>
      </c>
      <c r="C69" s="26"/>
      <c r="D69" s="28">
        <f>B69*C7*225</f>
        <v>1575</v>
      </c>
      <c r="E69" s="26"/>
      <c r="F69" s="26" t="s">
        <v>386</v>
      </c>
    </row>
    <row r="70" spans="1:6" x14ac:dyDescent="0.25">
      <c r="A70" s="26" t="s">
        <v>387</v>
      </c>
      <c r="B70" s="26"/>
      <c r="C70" s="26"/>
      <c r="D70" s="28">
        <v>141.66</v>
      </c>
      <c r="E70" s="26"/>
      <c r="F70" s="26" t="s">
        <v>388</v>
      </c>
    </row>
    <row r="71" spans="1:6" x14ac:dyDescent="0.25">
      <c r="A71" s="26"/>
      <c r="B71" s="26"/>
      <c r="C71" s="26"/>
      <c r="D71" s="28"/>
      <c r="E71" s="26"/>
      <c r="F71" s="26"/>
    </row>
    <row r="72" spans="1:6" x14ac:dyDescent="0.25">
      <c r="A72" s="26"/>
      <c r="B72" s="26"/>
      <c r="C72" s="26"/>
      <c r="D72" s="28"/>
      <c r="E72" s="26"/>
      <c r="F72" s="26"/>
    </row>
    <row r="73" spans="1:6" x14ac:dyDescent="0.25">
      <c r="A73" s="31" t="s">
        <v>389</v>
      </c>
      <c r="B73" s="26"/>
      <c r="C73" s="26"/>
      <c r="D73" s="28"/>
      <c r="E73" s="26"/>
      <c r="F73" s="26"/>
    </row>
    <row r="74" spans="1:6" x14ac:dyDescent="0.25">
      <c r="A74" s="26" t="s">
        <v>390</v>
      </c>
      <c r="B74" s="26">
        <v>1</v>
      </c>
      <c r="C74" s="26"/>
      <c r="D74" s="28">
        <f>C7*425</f>
        <v>1487.5</v>
      </c>
      <c r="E74" s="26"/>
      <c r="F74" s="26" t="s">
        <v>384</v>
      </c>
    </row>
    <row r="75" spans="1:6" x14ac:dyDescent="0.25">
      <c r="A75" s="26" t="s">
        <v>391</v>
      </c>
      <c r="B75" s="26">
        <v>1</v>
      </c>
      <c r="C75" s="26"/>
      <c r="D75" s="28">
        <f>C7*225</f>
        <v>787.5</v>
      </c>
      <c r="E75" s="26"/>
      <c r="F75" s="26" t="s">
        <v>386</v>
      </c>
    </row>
    <row r="76" spans="1:6" x14ac:dyDescent="0.25">
      <c r="A76" s="26" t="s">
        <v>392</v>
      </c>
      <c r="B76" s="26">
        <v>1</v>
      </c>
      <c r="C76" s="26"/>
      <c r="D76" s="28">
        <f>C7*225</f>
        <v>787.5</v>
      </c>
      <c r="E76" s="26"/>
      <c r="F76" s="26" t="s">
        <v>386</v>
      </c>
    </row>
    <row r="77" spans="1:6" x14ac:dyDescent="0.25">
      <c r="A77" s="26" t="s">
        <v>393</v>
      </c>
      <c r="B77" s="26"/>
      <c r="C77" s="26"/>
      <c r="D77" s="28">
        <f>C7*112.4</f>
        <v>393.40000000000003</v>
      </c>
      <c r="E77" s="26"/>
      <c r="F77" s="26" t="s">
        <v>394</v>
      </c>
    </row>
    <row r="78" spans="1:6" x14ac:dyDescent="0.25">
      <c r="A78" s="26" t="s">
        <v>395</v>
      </c>
      <c r="B78" s="26"/>
      <c r="C78" s="26"/>
      <c r="D78" s="28">
        <v>93.75</v>
      </c>
      <c r="E78" s="26"/>
      <c r="F78" s="26"/>
    </row>
    <row r="79" spans="1:6" x14ac:dyDescent="0.25">
      <c r="A79" s="26" t="s">
        <v>396</v>
      </c>
      <c r="B79" s="26"/>
      <c r="C79" s="26"/>
      <c r="D79" s="28">
        <v>149.4</v>
      </c>
      <c r="E79" s="26"/>
      <c r="F79" s="26" t="s">
        <v>397</v>
      </c>
    </row>
    <row r="80" spans="1:6" x14ac:dyDescent="0.25">
      <c r="A80" s="26" t="s">
        <v>398</v>
      </c>
      <c r="B80" s="26"/>
      <c r="C80" s="26"/>
      <c r="D80" s="28">
        <v>50</v>
      </c>
      <c r="E80" s="26"/>
      <c r="F80" s="26"/>
    </row>
    <row r="81" spans="1:6" x14ac:dyDescent="0.25">
      <c r="A81" s="26"/>
      <c r="B81" s="26"/>
      <c r="C81" s="26"/>
      <c r="D81" s="28"/>
      <c r="E81" s="26"/>
      <c r="F81" s="26"/>
    </row>
    <row r="82" spans="1:6" x14ac:dyDescent="0.25">
      <c r="A82" s="31" t="s">
        <v>399</v>
      </c>
      <c r="B82" s="26"/>
      <c r="C82" s="26"/>
      <c r="D82" s="28"/>
      <c r="E82" s="26"/>
      <c r="F82" s="26" t="s">
        <v>400</v>
      </c>
    </row>
    <row r="83" spans="1:6" x14ac:dyDescent="0.25">
      <c r="A83" s="26" t="s">
        <v>401</v>
      </c>
      <c r="B83" s="26"/>
      <c r="C83" s="26"/>
      <c r="D83" s="28">
        <v>527</v>
      </c>
      <c r="E83" s="26"/>
      <c r="F83" s="26" t="s">
        <v>402</v>
      </c>
    </row>
    <row r="84" spans="1:6" x14ac:dyDescent="0.25">
      <c r="A84" s="26" t="s">
        <v>403</v>
      </c>
      <c r="B84" s="26"/>
      <c r="C84" s="26"/>
      <c r="D84" s="28">
        <v>288</v>
      </c>
      <c r="E84" s="26"/>
      <c r="F84" s="26" t="s">
        <v>404</v>
      </c>
    </row>
    <row r="85" spans="1:6" x14ac:dyDescent="0.25">
      <c r="A85" s="26" t="s">
        <v>405</v>
      </c>
      <c r="B85" s="26"/>
      <c r="C85" s="26"/>
      <c r="D85" s="28">
        <v>76.900000000000006</v>
      </c>
      <c r="E85" s="26"/>
      <c r="F85" s="26" t="s">
        <v>406</v>
      </c>
    </row>
    <row r="86" spans="1:6" x14ac:dyDescent="0.25">
      <c r="A86" s="26"/>
      <c r="B86" s="26"/>
      <c r="C86" s="26"/>
      <c r="D86" s="28"/>
      <c r="E86" s="26"/>
      <c r="F86" s="26"/>
    </row>
    <row r="87" spans="1:6" x14ac:dyDescent="0.25">
      <c r="A87" s="26"/>
      <c r="B87" s="26"/>
      <c r="C87" s="26"/>
      <c r="D87" s="28"/>
      <c r="E87" s="26"/>
      <c r="F87" s="26"/>
    </row>
    <row r="88" spans="1:6" x14ac:dyDescent="0.25">
      <c r="A88" s="26" t="s">
        <v>407</v>
      </c>
      <c r="B88" s="26"/>
      <c r="C88" s="26"/>
      <c r="D88" s="28">
        <v>230</v>
      </c>
      <c r="E88" s="26"/>
      <c r="F88" s="26" t="s">
        <v>408</v>
      </c>
    </row>
    <row r="89" spans="1:6" x14ac:dyDescent="0.25">
      <c r="A89" s="26" t="s">
        <v>409</v>
      </c>
      <c r="B89" s="26">
        <v>1</v>
      </c>
      <c r="C89" s="26"/>
      <c r="D89" s="28">
        <f>C7*198</f>
        <v>693</v>
      </c>
      <c r="E89" s="26"/>
      <c r="F89" s="26" t="s">
        <v>410</v>
      </c>
    </row>
    <row r="90" spans="1:6" x14ac:dyDescent="0.25">
      <c r="A90" s="26" t="s">
        <v>411</v>
      </c>
      <c r="B90" s="26">
        <v>1</v>
      </c>
      <c r="C90" s="26"/>
      <c r="D90" s="28">
        <f>C7*B90*185</f>
        <v>647.5</v>
      </c>
      <c r="E90" s="26"/>
      <c r="F90" s="26" t="s">
        <v>412</v>
      </c>
    </row>
    <row r="91" spans="1:6" x14ac:dyDescent="0.25">
      <c r="A91" s="26"/>
      <c r="B91" s="26"/>
      <c r="C91" s="26"/>
      <c r="D91" s="28"/>
      <c r="E91" s="26"/>
      <c r="F91" s="26"/>
    </row>
    <row r="92" spans="1:6" x14ac:dyDescent="0.25">
      <c r="A92" s="31" t="s">
        <v>413</v>
      </c>
      <c r="B92" s="26">
        <v>1</v>
      </c>
      <c r="C92" s="26"/>
      <c r="D92" s="28">
        <v>35</v>
      </c>
      <c r="E92" s="26"/>
      <c r="F92" s="26"/>
    </row>
    <row r="93" spans="1:6" x14ac:dyDescent="0.25">
      <c r="A93" s="26"/>
      <c r="B93" s="26"/>
      <c r="C93" s="26"/>
      <c r="D93" s="28"/>
      <c r="E93" s="26"/>
      <c r="F93" s="26"/>
    </row>
    <row r="94" spans="1:6" x14ac:dyDescent="0.25">
      <c r="A94" s="26"/>
      <c r="B94" s="26"/>
      <c r="C94" s="26"/>
      <c r="D94" s="28"/>
      <c r="E94" s="26"/>
      <c r="F94" s="26"/>
    </row>
    <row r="95" spans="1:6" x14ac:dyDescent="0.25">
      <c r="A95" s="32" t="s">
        <v>414</v>
      </c>
      <c r="B95" s="32"/>
      <c r="C95" s="32"/>
      <c r="D95" s="33">
        <f>SUM(D11:D94)</f>
        <v>24189.630000000005</v>
      </c>
      <c r="E95" s="32"/>
      <c r="F95" s="32" t="s">
        <v>415</v>
      </c>
    </row>
    <row r="96" spans="1:6" x14ac:dyDescent="0.25">
      <c r="D96" s="34"/>
    </row>
    <row r="97" spans="1:4" hidden="1" x14ac:dyDescent="0.25">
      <c r="A97" s="20" t="s">
        <v>416</v>
      </c>
      <c r="D97" s="35">
        <f>D95+(D68+D69+D70+D74+D75+D76+D89+D90)</f>
        <v>32689.290000000005</v>
      </c>
    </row>
    <row r="98" spans="1:4" x14ac:dyDescent="0.25">
      <c r="D98" s="34"/>
    </row>
    <row r="99" spans="1:4" x14ac:dyDescent="0.25">
      <c r="D99" s="34"/>
    </row>
    <row r="100" spans="1:4" x14ac:dyDescent="0.25">
      <c r="D100" s="34"/>
    </row>
    <row r="101" spans="1:4" x14ac:dyDescent="0.25">
      <c r="D101" s="34"/>
    </row>
    <row r="102" spans="1:4" x14ac:dyDescent="0.25">
      <c r="D102" s="34"/>
    </row>
  </sheetData>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pane xSplit="2" ySplit="7" topLeftCell="C8" activePane="bottomRight" state="frozen"/>
      <selection pane="topRight" activeCell="C1" sqref="C1"/>
      <selection pane="bottomLeft" activeCell="A6" sqref="A6"/>
      <selection pane="bottomRight" activeCell="A8" sqref="A8"/>
    </sheetView>
  </sheetViews>
  <sheetFormatPr defaultRowHeight="12.75" x14ac:dyDescent="0.2"/>
  <cols>
    <col min="1" max="1" width="6.7109375" style="37" customWidth="1"/>
    <col min="2" max="2" width="29.42578125" style="37" bestFit="1" customWidth="1"/>
    <col min="3" max="3" width="11.7109375" style="37" hidden="1" customWidth="1"/>
    <col min="4" max="4" width="29.85546875" style="37" hidden="1" customWidth="1"/>
    <col min="5" max="5" width="11.7109375" style="37" hidden="1" customWidth="1"/>
    <col min="6" max="6" width="29.85546875" style="37" hidden="1" customWidth="1"/>
    <col min="7" max="7" width="11.7109375" style="37" bestFit="1" customWidth="1"/>
    <col min="8" max="8" width="29.85546875" style="37" bestFit="1" customWidth="1"/>
    <col min="9" max="9" width="11.7109375" style="37" bestFit="1" customWidth="1"/>
    <col min="10" max="10" width="29.85546875" style="37" bestFit="1" customWidth="1"/>
    <col min="11" max="256" width="9.140625" style="37"/>
    <col min="257" max="257" width="6.7109375" style="37" customWidth="1"/>
    <col min="258" max="258" width="29.42578125" style="37" bestFit="1" customWidth="1"/>
    <col min="259" max="262" width="0" style="37" hidden="1" customWidth="1"/>
    <col min="263" max="263" width="11.7109375" style="37" bestFit="1" customWidth="1"/>
    <col min="264" max="264" width="29.85546875" style="37" bestFit="1" customWidth="1"/>
    <col min="265" max="265" width="11.7109375" style="37" bestFit="1" customWidth="1"/>
    <col min="266" max="266" width="29.85546875" style="37" bestFit="1" customWidth="1"/>
    <col min="267" max="512" width="9.140625" style="37"/>
    <col min="513" max="513" width="6.7109375" style="37" customWidth="1"/>
    <col min="514" max="514" width="29.42578125" style="37" bestFit="1" customWidth="1"/>
    <col min="515" max="518" width="0" style="37" hidden="1" customWidth="1"/>
    <col min="519" max="519" width="11.7109375" style="37" bestFit="1" customWidth="1"/>
    <col min="520" max="520" width="29.85546875" style="37" bestFit="1" customWidth="1"/>
    <col min="521" max="521" width="11.7109375" style="37" bestFit="1" customWidth="1"/>
    <col min="522" max="522" width="29.85546875" style="37" bestFit="1" customWidth="1"/>
    <col min="523" max="768" width="9.140625" style="37"/>
    <col min="769" max="769" width="6.7109375" style="37" customWidth="1"/>
    <col min="770" max="770" width="29.42578125" style="37" bestFit="1" customWidth="1"/>
    <col min="771" max="774" width="0" style="37" hidden="1" customWidth="1"/>
    <col min="775" max="775" width="11.7109375" style="37" bestFit="1" customWidth="1"/>
    <col min="776" max="776" width="29.85546875" style="37" bestFit="1" customWidth="1"/>
    <col min="777" max="777" width="11.7109375" style="37" bestFit="1" customWidth="1"/>
    <col min="778" max="778" width="29.85546875" style="37" bestFit="1" customWidth="1"/>
    <col min="779" max="1024" width="9.140625" style="37"/>
    <col min="1025" max="1025" width="6.7109375" style="37" customWidth="1"/>
    <col min="1026" max="1026" width="29.42578125" style="37" bestFit="1" customWidth="1"/>
    <col min="1027" max="1030" width="0" style="37" hidden="1" customWidth="1"/>
    <col min="1031" max="1031" width="11.7109375" style="37" bestFit="1" customWidth="1"/>
    <col min="1032" max="1032" width="29.85546875" style="37" bestFit="1" customWidth="1"/>
    <col min="1033" max="1033" width="11.7109375" style="37" bestFit="1" customWidth="1"/>
    <col min="1034" max="1034" width="29.85546875" style="37" bestFit="1" customWidth="1"/>
    <col min="1035" max="1280" width="9.140625" style="37"/>
    <col min="1281" max="1281" width="6.7109375" style="37" customWidth="1"/>
    <col min="1282" max="1282" width="29.42578125" style="37" bestFit="1" customWidth="1"/>
    <col min="1283" max="1286" width="0" style="37" hidden="1" customWidth="1"/>
    <col min="1287" max="1287" width="11.7109375" style="37" bestFit="1" customWidth="1"/>
    <col min="1288" max="1288" width="29.85546875" style="37" bestFit="1" customWidth="1"/>
    <col min="1289" max="1289" width="11.7109375" style="37" bestFit="1" customWidth="1"/>
    <col min="1290" max="1290" width="29.85546875" style="37" bestFit="1" customWidth="1"/>
    <col min="1291" max="1536" width="9.140625" style="37"/>
    <col min="1537" max="1537" width="6.7109375" style="37" customWidth="1"/>
    <col min="1538" max="1538" width="29.42578125" style="37" bestFit="1" customWidth="1"/>
    <col min="1539" max="1542" width="0" style="37" hidden="1" customWidth="1"/>
    <col min="1543" max="1543" width="11.7109375" style="37" bestFit="1" customWidth="1"/>
    <col min="1544" max="1544" width="29.85546875" style="37" bestFit="1" customWidth="1"/>
    <col min="1545" max="1545" width="11.7109375" style="37" bestFit="1" customWidth="1"/>
    <col min="1546" max="1546" width="29.85546875" style="37" bestFit="1" customWidth="1"/>
    <col min="1547" max="1792" width="9.140625" style="37"/>
    <col min="1793" max="1793" width="6.7109375" style="37" customWidth="1"/>
    <col min="1794" max="1794" width="29.42578125" style="37" bestFit="1" customWidth="1"/>
    <col min="1795" max="1798" width="0" style="37" hidden="1" customWidth="1"/>
    <col min="1799" max="1799" width="11.7109375" style="37" bestFit="1" customWidth="1"/>
    <col min="1800" max="1800" width="29.85546875" style="37" bestFit="1" customWidth="1"/>
    <col min="1801" max="1801" width="11.7109375" style="37" bestFit="1" customWidth="1"/>
    <col min="1802" max="1802" width="29.85546875" style="37" bestFit="1" customWidth="1"/>
    <col min="1803" max="2048" width="9.140625" style="37"/>
    <col min="2049" max="2049" width="6.7109375" style="37" customWidth="1"/>
    <col min="2050" max="2050" width="29.42578125" style="37" bestFit="1" customWidth="1"/>
    <col min="2051" max="2054" width="0" style="37" hidden="1" customWidth="1"/>
    <col min="2055" max="2055" width="11.7109375" style="37" bestFit="1" customWidth="1"/>
    <col min="2056" max="2056" width="29.85546875" style="37" bestFit="1" customWidth="1"/>
    <col min="2057" max="2057" width="11.7109375" style="37" bestFit="1" customWidth="1"/>
    <col min="2058" max="2058" width="29.85546875" style="37" bestFit="1" customWidth="1"/>
    <col min="2059" max="2304" width="9.140625" style="37"/>
    <col min="2305" max="2305" width="6.7109375" style="37" customWidth="1"/>
    <col min="2306" max="2306" width="29.42578125" style="37" bestFit="1" customWidth="1"/>
    <col min="2307" max="2310" width="0" style="37" hidden="1" customWidth="1"/>
    <col min="2311" max="2311" width="11.7109375" style="37" bestFit="1" customWidth="1"/>
    <col min="2312" max="2312" width="29.85546875" style="37" bestFit="1" customWidth="1"/>
    <col min="2313" max="2313" width="11.7109375" style="37" bestFit="1" customWidth="1"/>
    <col min="2314" max="2314" width="29.85546875" style="37" bestFit="1" customWidth="1"/>
    <col min="2315" max="2560" width="9.140625" style="37"/>
    <col min="2561" max="2561" width="6.7109375" style="37" customWidth="1"/>
    <col min="2562" max="2562" width="29.42578125" style="37" bestFit="1" customWidth="1"/>
    <col min="2563" max="2566" width="0" style="37" hidden="1" customWidth="1"/>
    <col min="2567" max="2567" width="11.7109375" style="37" bestFit="1" customWidth="1"/>
    <col min="2568" max="2568" width="29.85546875" style="37" bestFit="1" customWidth="1"/>
    <col min="2569" max="2569" width="11.7109375" style="37" bestFit="1" customWidth="1"/>
    <col min="2570" max="2570" width="29.85546875" style="37" bestFit="1" customWidth="1"/>
    <col min="2571" max="2816" width="9.140625" style="37"/>
    <col min="2817" max="2817" width="6.7109375" style="37" customWidth="1"/>
    <col min="2818" max="2818" width="29.42578125" style="37" bestFit="1" customWidth="1"/>
    <col min="2819" max="2822" width="0" style="37" hidden="1" customWidth="1"/>
    <col min="2823" max="2823" width="11.7109375" style="37" bestFit="1" customWidth="1"/>
    <col min="2824" max="2824" width="29.85546875" style="37" bestFit="1" customWidth="1"/>
    <col min="2825" max="2825" width="11.7109375" style="37" bestFit="1" customWidth="1"/>
    <col min="2826" max="2826" width="29.85546875" style="37" bestFit="1" customWidth="1"/>
    <col min="2827" max="3072" width="9.140625" style="37"/>
    <col min="3073" max="3073" width="6.7109375" style="37" customWidth="1"/>
    <col min="3074" max="3074" width="29.42578125" style="37" bestFit="1" customWidth="1"/>
    <col min="3075" max="3078" width="0" style="37" hidden="1" customWidth="1"/>
    <col min="3079" max="3079" width="11.7109375" style="37" bestFit="1" customWidth="1"/>
    <col min="3080" max="3080" width="29.85546875" style="37" bestFit="1" customWidth="1"/>
    <col min="3081" max="3081" width="11.7109375" style="37" bestFit="1" customWidth="1"/>
    <col min="3082" max="3082" width="29.85546875" style="37" bestFit="1" customWidth="1"/>
    <col min="3083" max="3328" width="9.140625" style="37"/>
    <col min="3329" max="3329" width="6.7109375" style="37" customWidth="1"/>
    <col min="3330" max="3330" width="29.42578125" style="37" bestFit="1" customWidth="1"/>
    <col min="3331" max="3334" width="0" style="37" hidden="1" customWidth="1"/>
    <col min="3335" max="3335" width="11.7109375" style="37" bestFit="1" customWidth="1"/>
    <col min="3336" max="3336" width="29.85546875" style="37" bestFit="1" customWidth="1"/>
    <col min="3337" max="3337" width="11.7109375" style="37" bestFit="1" customWidth="1"/>
    <col min="3338" max="3338" width="29.85546875" style="37" bestFit="1" customWidth="1"/>
    <col min="3339" max="3584" width="9.140625" style="37"/>
    <col min="3585" max="3585" width="6.7109375" style="37" customWidth="1"/>
    <col min="3586" max="3586" width="29.42578125" style="37" bestFit="1" customWidth="1"/>
    <col min="3587" max="3590" width="0" style="37" hidden="1" customWidth="1"/>
    <col min="3591" max="3591" width="11.7109375" style="37" bestFit="1" customWidth="1"/>
    <col min="3592" max="3592" width="29.85546875" style="37" bestFit="1" customWidth="1"/>
    <col min="3593" max="3593" width="11.7109375" style="37" bestFit="1" customWidth="1"/>
    <col min="3594" max="3594" width="29.85546875" style="37" bestFit="1" customWidth="1"/>
    <col min="3595" max="3840" width="9.140625" style="37"/>
    <col min="3841" max="3841" width="6.7109375" style="37" customWidth="1"/>
    <col min="3842" max="3842" width="29.42578125" style="37" bestFit="1" customWidth="1"/>
    <col min="3843" max="3846" width="0" style="37" hidden="1" customWidth="1"/>
    <col min="3847" max="3847" width="11.7109375" style="37" bestFit="1" customWidth="1"/>
    <col min="3848" max="3848" width="29.85546875" style="37" bestFit="1" customWidth="1"/>
    <col min="3849" max="3849" width="11.7109375" style="37" bestFit="1" customWidth="1"/>
    <col min="3850" max="3850" width="29.85546875" style="37" bestFit="1" customWidth="1"/>
    <col min="3851" max="4096" width="9.140625" style="37"/>
    <col min="4097" max="4097" width="6.7109375" style="37" customWidth="1"/>
    <col min="4098" max="4098" width="29.42578125" style="37" bestFit="1" customWidth="1"/>
    <col min="4099" max="4102" width="0" style="37" hidden="1" customWidth="1"/>
    <col min="4103" max="4103" width="11.7109375" style="37" bestFit="1" customWidth="1"/>
    <col min="4104" max="4104" width="29.85546875" style="37" bestFit="1" customWidth="1"/>
    <col min="4105" max="4105" width="11.7109375" style="37" bestFit="1" customWidth="1"/>
    <col min="4106" max="4106" width="29.85546875" style="37" bestFit="1" customWidth="1"/>
    <col min="4107" max="4352" width="9.140625" style="37"/>
    <col min="4353" max="4353" width="6.7109375" style="37" customWidth="1"/>
    <col min="4354" max="4354" width="29.42578125" style="37" bestFit="1" customWidth="1"/>
    <col min="4355" max="4358" width="0" style="37" hidden="1" customWidth="1"/>
    <col min="4359" max="4359" width="11.7109375" style="37" bestFit="1" customWidth="1"/>
    <col min="4360" max="4360" width="29.85546875" style="37" bestFit="1" customWidth="1"/>
    <col min="4361" max="4361" width="11.7109375" style="37" bestFit="1" customWidth="1"/>
    <col min="4362" max="4362" width="29.85546875" style="37" bestFit="1" customWidth="1"/>
    <col min="4363" max="4608" width="9.140625" style="37"/>
    <col min="4609" max="4609" width="6.7109375" style="37" customWidth="1"/>
    <col min="4610" max="4610" width="29.42578125" style="37" bestFit="1" customWidth="1"/>
    <col min="4611" max="4614" width="0" style="37" hidden="1" customWidth="1"/>
    <col min="4615" max="4615" width="11.7109375" style="37" bestFit="1" customWidth="1"/>
    <col min="4616" max="4616" width="29.85546875" style="37" bestFit="1" customWidth="1"/>
    <col min="4617" max="4617" width="11.7109375" style="37" bestFit="1" customWidth="1"/>
    <col min="4618" max="4618" width="29.85546875" style="37" bestFit="1" customWidth="1"/>
    <col min="4619" max="4864" width="9.140625" style="37"/>
    <col min="4865" max="4865" width="6.7109375" style="37" customWidth="1"/>
    <col min="4866" max="4866" width="29.42578125" style="37" bestFit="1" customWidth="1"/>
    <col min="4867" max="4870" width="0" style="37" hidden="1" customWidth="1"/>
    <col min="4871" max="4871" width="11.7109375" style="37" bestFit="1" customWidth="1"/>
    <col min="4872" max="4872" width="29.85546875" style="37" bestFit="1" customWidth="1"/>
    <col min="4873" max="4873" width="11.7109375" style="37" bestFit="1" customWidth="1"/>
    <col min="4874" max="4874" width="29.85546875" style="37" bestFit="1" customWidth="1"/>
    <col min="4875" max="5120" width="9.140625" style="37"/>
    <col min="5121" max="5121" width="6.7109375" style="37" customWidth="1"/>
    <col min="5122" max="5122" width="29.42578125" style="37" bestFit="1" customWidth="1"/>
    <col min="5123" max="5126" width="0" style="37" hidden="1" customWidth="1"/>
    <col min="5127" max="5127" width="11.7109375" style="37" bestFit="1" customWidth="1"/>
    <col min="5128" max="5128" width="29.85546875" style="37" bestFit="1" customWidth="1"/>
    <col min="5129" max="5129" width="11.7109375" style="37" bestFit="1" customWidth="1"/>
    <col min="5130" max="5130" width="29.85546875" style="37" bestFit="1" customWidth="1"/>
    <col min="5131" max="5376" width="9.140625" style="37"/>
    <col min="5377" max="5377" width="6.7109375" style="37" customWidth="1"/>
    <col min="5378" max="5378" width="29.42578125" style="37" bestFit="1" customWidth="1"/>
    <col min="5379" max="5382" width="0" style="37" hidden="1" customWidth="1"/>
    <col min="5383" max="5383" width="11.7109375" style="37" bestFit="1" customWidth="1"/>
    <col min="5384" max="5384" width="29.85546875" style="37" bestFit="1" customWidth="1"/>
    <col min="5385" max="5385" width="11.7109375" style="37" bestFit="1" customWidth="1"/>
    <col min="5386" max="5386" width="29.85546875" style="37" bestFit="1" customWidth="1"/>
    <col min="5387" max="5632" width="9.140625" style="37"/>
    <col min="5633" max="5633" width="6.7109375" style="37" customWidth="1"/>
    <col min="5634" max="5634" width="29.42578125" style="37" bestFit="1" customWidth="1"/>
    <col min="5635" max="5638" width="0" style="37" hidden="1" customWidth="1"/>
    <col min="5639" max="5639" width="11.7109375" style="37" bestFit="1" customWidth="1"/>
    <col min="5640" max="5640" width="29.85546875" style="37" bestFit="1" customWidth="1"/>
    <col min="5641" max="5641" width="11.7109375" style="37" bestFit="1" customWidth="1"/>
    <col min="5642" max="5642" width="29.85546875" style="37" bestFit="1" customWidth="1"/>
    <col min="5643" max="5888" width="9.140625" style="37"/>
    <col min="5889" max="5889" width="6.7109375" style="37" customWidth="1"/>
    <col min="5890" max="5890" width="29.42578125" style="37" bestFit="1" customWidth="1"/>
    <col min="5891" max="5894" width="0" style="37" hidden="1" customWidth="1"/>
    <col min="5895" max="5895" width="11.7109375" style="37" bestFit="1" customWidth="1"/>
    <col min="5896" max="5896" width="29.85546875" style="37" bestFit="1" customWidth="1"/>
    <col min="5897" max="5897" width="11.7109375" style="37" bestFit="1" customWidth="1"/>
    <col min="5898" max="5898" width="29.85546875" style="37" bestFit="1" customWidth="1"/>
    <col min="5899" max="6144" width="9.140625" style="37"/>
    <col min="6145" max="6145" width="6.7109375" style="37" customWidth="1"/>
    <col min="6146" max="6146" width="29.42578125" style="37" bestFit="1" customWidth="1"/>
    <col min="6147" max="6150" width="0" style="37" hidden="1" customWidth="1"/>
    <col min="6151" max="6151" width="11.7109375" style="37" bestFit="1" customWidth="1"/>
    <col min="6152" max="6152" width="29.85546875" style="37" bestFit="1" customWidth="1"/>
    <col min="6153" max="6153" width="11.7109375" style="37" bestFit="1" customWidth="1"/>
    <col min="6154" max="6154" width="29.85546875" style="37" bestFit="1" customWidth="1"/>
    <col min="6155" max="6400" width="9.140625" style="37"/>
    <col min="6401" max="6401" width="6.7109375" style="37" customWidth="1"/>
    <col min="6402" max="6402" width="29.42578125" style="37" bestFit="1" customWidth="1"/>
    <col min="6403" max="6406" width="0" style="37" hidden="1" customWidth="1"/>
    <col min="6407" max="6407" width="11.7109375" style="37" bestFit="1" customWidth="1"/>
    <col min="6408" max="6408" width="29.85546875" style="37" bestFit="1" customWidth="1"/>
    <col min="6409" max="6409" width="11.7109375" style="37" bestFit="1" customWidth="1"/>
    <col min="6410" max="6410" width="29.85546875" style="37" bestFit="1" customWidth="1"/>
    <col min="6411" max="6656" width="9.140625" style="37"/>
    <col min="6657" max="6657" width="6.7109375" style="37" customWidth="1"/>
    <col min="6658" max="6658" width="29.42578125" style="37" bestFit="1" customWidth="1"/>
    <col min="6659" max="6662" width="0" style="37" hidden="1" customWidth="1"/>
    <col min="6663" max="6663" width="11.7109375" style="37" bestFit="1" customWidth="1"/>
    <col min="6664" max="6664" width="29.85546875" style="37" bestFit="1" customWidth="1"/>
    <col min="6665" max="6665" width="11.7109375" style="37" bestFit="1" customWidth="1"/>
    <col min="6666" max="6666" width="29.85546875" style="37" bestFit="1" customWidth="1"/>
    <col min="6667" max="6912" width="9.140625" style="37"/>
    <col min="6913" max="6913" width="6.7109375" style="37" customWidth="1"/>
    <col min="6914" max="6914" width="29.42578125" style="37" bestFit="1" customWidth="1"/>
    <col min="6915" max="6918" width="0" style="37" hidden="1" customWidth="1"/>
    <col min="6919" max="6919" width="11.7109375" style="37" bestFit="1" customWidth="1"/>
    <col min="6920" max="6920" width="29.85546875" style="37" bestFit="1" customWidth="1"/>
    <col min="6921" max="6921" width="11.7109375" style="37" bestFit="1" customWidth="1"/>
    <col min="6922" max="6922" width="29.85546875" style="37" bestFit="1" customWidth="1"/>
    <col min="6923" max="7168" width="9.140625" style="37"/>
    <col min="7169" max="7169" width="6.7109375" style="37" customWidth="1"/>
    <col min="7170" max="7170" width="29.42578125" style="37" bestFit="1" customWidth="1"/>
    <col min="7171" max="7174" width="0" style="37" hidden="1" customWidth="1"/>
    <col min="7175" max="7175" width="11.7109375" style="37" bestFit="1" customWidth="1"/>
    <col min="7176" max="7176" width="29.85546875" style="37" bestFit="1" customWidth="1"/>
    <col min="7177" max="7177" width="11.7109375" style="37" bestFit="1" customWidth="1"/>
    <col min="7178" max="7178" width="29.85546875" style="37" bestFit="1" customWidth="1"/>
    <col min="7179" max="7424" width="9.140625" style="37"/>
    <col min="7425" max="7425" width="6.7109375" style="37" customWidth="1"/>
    <col min="7426" max="7426" width="29.42578125" style="37" bestFit="1" customWidth="1"/>
    <col min="7427" max="7430" width="0" style="37" hidden="1" customWidth="1"/>
    <col min="7431" max="7431" width="11.7109375" style="37" bestFit="1" customWidth="1"/>
    <col min="7432" max="7432" width="29.85546875" style="37" bestFit="1" customWidth="1"/>
    <col min="7433" max="7433" width="11.7109375" style="37" bestFit="1" customWidth="1"/>
    <col min="7434" max="7434" width="29.85546875" style="37" bestFit="1" customWidth="1"/>
    <col min="7435" max="7680" width="9.140625" style="37"/>
    <col min="7681" max="7681" width="6.7109375" style="37" customWidth="1"/>
    <col min="7682" max="7682" width="29.42578125" style="37" bestFit="1" customWidth="1"/>
    <col min="7683" max="7686" width="0" style="37" hidden="1" customWidth="1"/>
    <col min="7687" max="7687" width="11.7109375" style="37" bestFit="1" customWidth="1"/>
    <col min="7688" max="7688" width="29.85546875" style="37" bestFit="1" customWidth="1"/>
    <col min="7689" max="7689" width="11.7109375" style="37" bestFit="1" customWidth="1"/>
    <col min="7690" max="7690" width="29.85546875" style="37" bestFit="1" customWidth="1"/>
    <col min="7691" max="7936" width="9.140625" style="37"/>
    <col min="7937" max="7937" width="6.7109375" style="37" customWidth="1"/>
    <col min="7938" max="7938" width="29.42578125" style="37" bestFit="1" customWidth="1"/>
    <col min="7939" max="7942" width="0" style="37" hidden="1" customWidth="1"/>
    <col min="7943" max="7943" width="11.7109375" style="37" bestFit="1" customWidth="1"/>
    <col min="7944" max="7944" width="29.85546875" style="37" bestFit="1" customWidth="1"/>
    <col min="7945" max="7945" width="11.7109375" style="37" bestFit="1" customWidth="1"/>
    <col min="7946" max="7946" width="29.85546875" style="37" bestFit="1" customWidth="1"/>
    <col min="7947" max="8192" width="9.140625" style="37"/>
    <col min="8193" max="8193" width="6.7109375" style="37" customWidth="1"/>
    <col min="8194" max="8194" width="29.42578125" style="37" bestFit="1" customWidth="1"/>
    <col min="8195" max="8198" width="0" style="37" hidden="1" customWidth="1"/>
    <col min="8199" max="8199" width="11.7109375" style="37" bestFit="1" customWidth="1"/>
    <col min="8200" max="8200" width="29.85546875" style="37" bestFit="1" customWidth="1"/>
    <col min="8201" max="8201" width="11.7109375" style="37" bestFit="1" customWidth="1"/>
    <col min="8202" max="8202" width="29.85546875" style="37" bestFit="1" customWidth="1"/>
    <col min="8203" max="8448" width="9.140625" style="37"/>
    <col min="8449" max="8449" width="6.7109375" style="37" customWidth="1"/>
    <col min="8450" max="8450" width="29.42578125" style="37" bestFit="1" customWidth="1"/>
    <col min="8451" max="8454" width="0" style="37" hidden="1" customWidth="1"/>
    <col min="8455" max="8455" width="11.7109375" style="37" bestFit="1" customWidth="1"/>
    <col min="8456" max="8456" width="29.85546875" style="37" bestFit="1" customWidth="1"/>
    <col min="8457" max="8457" width="11.7109375" style="37" bestFit="1" customWidth="1"/>
    <col min="8458" max="8458" width="29.85546875" style="37" bestFit="1" customWidth="1"/>
    <col min="8459" max="8704" width="9.140625" style="37"/>
    <col min="8705" max="8705" width="6.7109375" style="37" customWidth="1"/>
    <col min="8706" max="8706" width="29.42578125" style="37" bestFit="1" customWidth="1"/>
    <col min="8707" max="8710" width="0" style="37" hidden="1" customWidth="1"/>
    <col min="8711" max="8711" width="11.7109375" style="37" bestFit="1" customWidth="1"/>
    <col min="8712" max="8712" width="29.85546875" style="37" bestFit="1" customWidth="1"/>
    <col min="8713" max="8713" width="11.7109375" style="37" bestFit="1" customWidth="1"/>
    <col min="8714" max="8714" width="29.85546875" style="37" bestFit="1" customWidth="1"/>
    <col min="8715" max="8960" width="9.140625" style="37"/>
    <col min="8961" max="8961" width="6.7109375" style="37" customWidth="1"/>
    <col min="8962" max="8962" width="29.42578125" style="37" bestFit="1" customWidth="1"/>
    <col min="8963" max="8966" width="0" style="37" hidden="1" customWidth="1"/>
    <col min="8967" max="8967" width="11.7109375" style="37" bestFit="1" customWidth="1"/>
    <col min="8968" max="8968" width="29.85546875" style="37" bestFit="1" customWidth="1"/>
    <col min="8969" max="8969" width="11.7109375" style="37" bestFit="1" customWidth="1"/>
    <col min="8970" max="8970" width="29.85546875" style="37" bestFit="1" customWidth="1"/>
    <col min="8971" max="9216" width="9.140625" style="37"/>
    <col min="9217" max="9217" width="6.7109375" style="37" customWidth="1"/>
    <col min="9218" max="9218" width="29.42578125" style="37" bestFit="1" customWidth="1"/>
    <col min="9219" max="9222" width="0" style="37" hidden="1" customWidth="1"/>
    <col min="9223" max="9223" width="11.7109375" style="37" bestFit="1" customWidth="1"/>
    <col min="9224" max="9224" width="29.85546875" style="37" bestFit="1" customWidth="1"/>
    <col min="9225" max="9225" width="11.7109375" style="37" bestFit="1" customWidth="1"/>
    <col min="9226" max="9226" width="29.85546875" style="37" bestFit="1" customWidth="1"/>
    <col min="9227" max="9472" width="9.140625" style="37"/>
    <col min="9473" max="9473" width="6.7109375" style="37" customWidth="1"/>
    <col min="9474" max="9474" width="29.42578125" style="37" bestFit="1" customWidth="1"/>
    <col min="9475" max="9478" width="0" style="37" hidden="1" customWidth="1"/>
    <col min="9479" max="9479" width="11.7109375" style="37" bestFit="1" customWidth="1"/>
    <col min="9480" max="9480" width="29.85546875" style="37" bestFit="1" customWidth="1"/>
    <col min="9481" max="9481" width="11.7109375" style="37" bestFit="1" customWidth="1"/>
    <col min="9482" max="9482" width="29.85546875" style="37" bestFit="1" customWidth="1"/>
    <col min="9483" max="9728" width="9.140625" style="37"/>
    <col min="9729" max="9729" width="6.7109375" style="37" customWidth="1"/>
    <col min="9730" max="9730" width="29.42578125" style="37" bestFit="1" customWidth="1"/>
    <col min="9731" max="9734" width="0" style="37" hidden="1" customWidth="1"/>
    <col min="9735" max="9735" width="11.7109375" style="37" bestFit="1" customWidth="1"/>
    <col min="9736" max="9736" width="29.85546875" style="37" bestFit="1" customWidth="1"/>
    <col min="9737" max="9737" width="11.7109375" style="37" bestFit="1" customWidth="1"/>
    <col min="9738" max="9738" width="29.85546875" style="37" bestFit="1" customWidth="1"/>
    <col min="9739" max="9984" width="9.140625" style="37"/>
    <col min="9985" max="9985" width="6.7109375" style="37" customWidth="1"/>
    <col min="9986" max="9986" width="29.42578125" style="37" bestFit="1" customWidth="1"/>
    <col min="9987" max="9990" width="0" style="37" hidden="1" customWidth="1"/>
    <col min="9991" max="9991" width="11.7109375" style="37" bestFit="1" customWidth="1"/>
    <col min="9992" max="9992" width="29.85546875" style="37" bestFit="1" customWidth="1"/>
    <col min="9993" max="9993" width="11.7109375" style="37" bestFit="1" customWidth="1"/>
    <col min="9994" max="9994" width="29.85546875" style="37" bestFit="1" customWidth="1"/>
    <col min="9995" max="10240" width="9.140625" style="37"/>
    <col min="10241" max="10241" width="6.7109375" style="37" customWidth="1"/>
    <col min="10242" max="10242" width="29.42578125" style="37" bestFit="1" customWidth="1"/>
    <col min="10243" max="10246" width="0" style="37" hidden="1" customWidth="1"/>
    <col min="10247" max="10247" width="11.7109375" style="37" bestFit="1" customWidth="1"/>
    <col min="10248" max="10248" width="29.85546875" style="37" bestFit="1" customWidth="1"/>
    <col min="10249" max="10249" width="11.7109375" style="37" bestFit="1" customWidth="1"/>
    <col min="10250" max="10250" width="29.85546875" style="37" bestFit="1" customWidth="1"/>
    <col min="10251" max="10496" width="9.140625" style="37"/>
    <col min="10497" max="10497" width="6.7109375" style="37" customWidth="1"/>
    <col min="10498" max="10498" width="29.42578125" style="37" bestFit="1" customWidth="1"/>
    <col min="10499" max="10502" width="0" style="37" hidden="1" customWidth="1"/>
    <col min="10503" max="10503" width="11.7109375" style="37" bestFit="1" customWidth="1"/>
    <col min="10504" max="10504" width="29.85546875" style="37" bestFit="1" customWidth="1"/>
    <col min="10505" max="10505" width="11.7109375" style="37" bestFit="1" customWidth="1"/>
    <col min="10506" max="10506" width="29.85546875" style="37" bestFit="1" customWidth="1"/>
    <col min="10507" max="10752" width="9.140625" style="37"/>
    <col min="10753" max="10753" width="6.7109375" style="37" customWidth="1"/>
    <col min="10754" max="10754" width="29.42578125" style="37" bestFit="1" customWidth="1"/>
    <col min="10755" max="10758" width="0" style="37" hidden="1" customWidth="1"/>
    <col min="10759" max="10759" width="11.7109375" style="37" bestFit="1" customWidth="1"/>
    <col min="10760" max="10760" width="29.85546875" style="37" bestFit="1" customWidth="1"/>
    <col min="10761" max="10761" width="11.7109375" style="37" bestFit="1" customWidth="1"/>
    <col min="10762" max="10762" width="29.85546875" style="37" bestFit="1" customWidth="1"/>
    <col min="10763" max="11008" width="9.140625" style="37"/>
    <col min="11009" max="11009" width="6.7109375" style="37" customWidth="1"/>
    <col min="11010" max="11010" width="29.42578125" style="37" bestFit="1" customWidth="1"/>
    <col min="11011" max="11014" width="0" style="37" hidden="1" customWidth="1"/>
    <col min="11015" max="11015" width="11.7109375" style="37" bestFit="1" customWidth="1"/>
    <col min="11016" max="11016" width="29.85546875" style="37" bestFit="1" customWidth="1"/>
    <col min="11017" max="11017" width="11.7109375" style="37" bestFit="1" customWidth="1"/>
    <col min="11018" max="11018" width="29.85546875" style="37" bestFit="1" customWidth="1"/>
    <col min="11019" max="11264" width="9.140625" style="37"/>
    <col min="11265" max="11265" width="6.7109375" style="37" customWidth="1"/>
    <col min="11266" max="11266" width="29.42578125" style="37" bestFit="1" customWidth="1"/>
    <col min="11267" max="11270" width="0" style="37" hidden="1" customWidth="1"/>
    <col min="11271" max="11271" width="11.7109375" style="37" bestFit="1" customWidth="1"/>
    <col min="11272" max="11272" width="29.85546875" style="37" bestFit="1" customWidth="1"/>
    <col min="11273" max="11273" width="11.7109375" style="37" bestFit="1" customWidth="1"/>
    <col min="11274" max="11274" width="29.85546875" style="37" bestFit="1" customWidth="1"/>
    <col min="11275" max="11520" width="9.140625" style="37"/>
    <col min="11521" max="11521" width="6.7109375" style="37" customWidth="1"/>
    <col min="11522" max="11522" width="29.42578125" style="37" bestFit="1" customWidth="1"/>
    <col min="11523" max="11526" width="0" style="37" hidden="1" customWidth="1"/>
    <col min="11527" max="11527" width="11.7109375" style="37" bestFit="1" customWidth="1"/>
    <col min="11528" max="11528" width="29.85546875" style="37" bestFit="1" customWidth="1"/>
    <col min="11529" max="11529" width="11.7109375" style="37" bestFit="1" customWidth="1"/>
    <col min="11530" max="11530" width="29.85546875" style="37" bestFit="1" customWidth="1"/>
    <col min="11531" max="11776" width="9.140625" style="37"/>
    <col min="11777" max="11777" width="6.7109375" style="37" customWidth="1"/>
    <col min="11778" max="11778" width="29.42578125" style="37" bestFit="1" customWidth="1"/>
    <col min="11779" max="11782" width="0" style="37" hidden="1" customWidth="1"/>
    <col min="11783" max="11783" width="11.7109375" style="37" bestFit="1" customWidth="1"/>
    <col min="11784" max="11784" width="29.85546875" style="37" bestFit="1" customWidth="1"/>
    <col min="11785" max="11785" width="11.7109375" style="37" bestFit="1" customWidth="1"/>
    <col min="11786" max="11786" width="29.85546875" style="37" bestFit="1" customWidth="1"/>
    <col min="11787" max="12032" width="9.140625" style="37"/>
    <col min="12033" max="12033" width="6.7109375" style="37" customWidth="1"/>
    <col min="12034" max="12034" width="29.42578125" style="37" bestFit="1" customWidth="1"/>
    <col min="12035" max="12038" width="0" style="37" hidden="1" customWidth="1"/>
    <col min="12039" max="12039" width="11.7109375" style="37" bestFit="1" customWidth="1"/>
    <col min="12040" max="12040" width="29.85546875" style="37" bestFit="1" customWidth="1"/>
    <col min="12041" max="12041" width="11.7109375" style="37" bestFit="1" customWidth="1"/>
    <col min="12042" max="12042" width="29.85546875" style="37" bestFit="1" customWidth="1"/>
    <col min="12043" max="12288" width="9.140625" style="37"/>
    <col min="12289" max="12289" width="6.7109375" style="37" customWidth="1"/>
    <col min="12290" max="12290" width="29.42578125" style="37" bestFit="1" customWidth="1"/>
    <col min="12291" max="12294" width="0" style="37" hidden="1" customWidth="1"/>
    <col min="12295" max="12295" width="11.7109375" style="37" bestFit="1" customWidth="1"/>
    <col min="12296" max="12296" width="29.85546875" style="37" bestFit="1" customWidth="1"/>
    <col min="12297" max="12297" width="11.7109375" style="37" bestFit="1" customWidth="1"/>
    <col min="12298" max="12298" width="29.85546875" style="37" bestFit="1" customWidth="1"/>
    <col min="12299" max="12544" width="9.140625" style="37"/>
    <col min="12545" max="12545" width="6.7109375" style="37" customWidth="1"/>
    <col min="12546" max="12546" width="29.42578125" style="37" bestFit="1" customWidth="1"/>
    <col min="12547" max="12550" width="0" style="37" hidden="1" customWidth="1"/>
    <col min="12551" max="12551" width="11.7109375" style="37" bestFit="1" customWidth="1"/>
    <col min="12552" max="12552" width="29.85546875" style="37" bestFit="1" customWidth="1"/>
    <col min="12553" max="12553" width="11.7109375" style="37" bestFit="1" customWidth="1"/>
    <col min="12554" max="12554" width="29.85546875" style="37" bestFit="1" customWidth="1"/>
    <col min="12555" max="12800" width="9.140625" style="37"/>
    <col min="12801" max="12801" width="6.7109375" style="37" customWidth="1"/>
    <col min="12802" max="12802" width="29.42578125" style="37" bestFit="1" customWidth="1"/>
    <col min="12803" max="12806" width="0" style="37" hidden="1" customWidth="1"/>
    <col min="12807" max="12807" width="11.7109375" style="37" bestFit="1" customWidth="1"/>
    <col min="12808" max="12808" width="29.85546875" style="37" bestFit="1" customWidth="1"/>
    <col min="12809" max="12809" width="11.7109375" style="37" bestFit="1" customWidth="1"/>
    <col min="12810" max="12810" width="29.85546875" style="37" bestFit="1" customWidth="1"/>
    <col min="12811" max="13056" width="9.140625" style="37"/>
    <col min="13057" max="13057" width="6.7109375" style="37" customWidth="1"/>
    <col min="13058" max="13058" width="29.42578125" style="37" bestFit="1" customWidth="1"/>
    <col min="13059" max="13062" width="0" style="37" hidden="1" customWidth="1"/>
    <col min="13063" max="13063" width="11.7109375" style="37" bestFit="1" customWidth="1"/>
    <col min="13064" max="13064" width="29.85546875" style="37" bestFit="1" customWidth="1"/>
    <col min="13065" max="13065" width="11.7109375" style="37" bestFit="1" customWidth="1"/>
    <col min="13066" max="13066" width="29.85546875" style="37" bestFit="1" customWidth="1"/>
    <col min="13067" max="13312" width="9.140625" style="37"/>
    <col min="13313" max="13313" width="6.7109375" style="37" customWidth="1"/>
    <col min="13314" max="13314" width="29.42578125" style="37" bestFit="1" customWidth="1"/>
    <col min="13315" max="13318" width="0" style="37" hidden="1" customWidth="1"/>
    <col min="13319" max="13319" width="11.7109375" style="37" bestFit="1" customWidth="1"/>
    <col min="13320" max="13320" width="29.85546875" style="37" bestFit="1" customWidth="1"/>
    <col min="13321" max="13321" width="11.7109375" style="37" bestFit="1" customWidth="1"/>
    <col min="13322" max="13322" width="29.85546875" style="37" bestFit="1" customWidth="1"/>
    <col min="13323" max="13568" width="9.140625" style="37"/>
    <col min="13569" max="13569" width="6.7109375" style="37" customWidth="1"/>
    <col min="13570" max="13570" width="29.42578125" style="37" bestFit="1" customWidth="1"/>
    <col min="13571" max="13574" width="0" style="37" hidden="1" customWidth="1"/>
    <col min="13575" max="13575" width="11.7109375" style="37" bestFit="1" customWidth="1"/>
    <col min="13576" max="13576" width="29.85546875" style="37" bestFit="1" customWidth="1"/>
    <col min="13577" max="13577" width="11.7109375" style="37" bestFit="1" customWidth="1"/>
    <col min="13578" max="13578" width="29.85546875" style="37" bestFit="1" customWidth="1"/>
    <col min="13579" max="13824" width="9.140625" style="37"/>
    <col min="13825" max="13825" width="6.7109375" style="37" customWidth="1"/>
    <col min="13826" max="13826" width="29.42578125" style="37" bestFit="1" customWidth="1"/>
    <col min="13827" max="13830" width="0" style="37" hidden="1" customWidth="1"/>
    <col min="13831" max="13831" width="11.7109375" style="37" bestFit="1" customWidth="1"/>
    <col min="13832" max="13832" width="29.85546875" style="37" bestFit="1" customWidth="1"/>
    <col min="13833" max="13833" width="11.7109375" style="37" bestFit="1" customWidth="1"/>
    <col min="13834" max="13834" width="29.85546875" style="37" bestFit="1" customWidth="1"/>
    <col min="13835" max="14080" width="9.140625" style="37"/>
    <col min="14081" max="14081" width="6.7109375" style="37" customWidth="1"/>
    <col min="14082" max="14082" width="29.42578125" style="37" bestFit="1" customWidth="1"/>
    <col min="14083" max="14086" width="0" style="37" hidden="1" customWidth="1"/>
    <col min="14087" max="14087" width="11.7109375" style="37" bestFit="1" customWidth="1"/>
    <col min="14088" max="14088" width="29.85546875" style="37" bestFit="1" customWidth="1"/>
    <col min="14089" max="14089" width="11.7109375" style="37" bestFit="1" customWidth="1"/>
    <col min="14090" max="14090" width="29.85546875" style="37" bestFit="1" customWidth="1"/>
    <col min="14091" max="14336" width="9.140625" style="37"/>
    <col min="14337" max="14337" width="6.7109375" style="37" customWidth="1"/>
    <col min="14338" max="14338" width="29.42578125" style="37" bestFit="1" customWidth="1"/>
    <col min="14339" max="14342" width="0" style="37" hidden="1" customWidth="1"/>
    <col min="14343" max="14343" width="11.7109375" style="37" bestFit="1" customWidth="1"/>
    <col min="14344" max="14344" width="29.85546875" style="37" bestFit="1" customWidth="1"/>
    <col min="14345" max="14345" width="11.7109375" style="37" bestFit="1" customWidth="1"/>
    <col min="14346" max="14346" width="29.85546875" style="37" bestFit="1" customWidth="1"/>
    <col min="14347" max="14592" width="9.140625" style="37"/>
    <col min="14593" max="14593" width="6.7109375" style="37" customWidth="1"/>
    <col min="14594" max="14594" width="29.42578125" style="37" bestFit="1" customWidth="1"/>
    <col min="14595" max="14598" width="0" style="37" hidden="1" customWidth="1"/>
    <col min="14599" max="14599" width="11.7109375" style="37" bestFit="1" customWidth="1"/>
    <col min="14600" max="14600" width="29.85546875" style="37" bestFit="1" customWidth="1"/>
    <col min="14601" max="14601" width="11.7109375" style="37" bestFit="1" customWidth="1"/>
    <col min="14602" max="14602" width="29.85546875" style="37" bestFit="1" customWidth="1"/>
    <col min="14603" max="14848" width="9.140625" style="37"/>
    <col min="14849" max="14849" width="6.7109375" style="37" customWidth="1"/>
    <col min="14850" max="14850" width="29.42578125" style="37" bestFit="1" customWidth="1"/>
    <col min="14851" max="14854" width="0" style="37" hidden="1" customWidth="1"/>
    <col min="14855" max="14855" width="11.7109375" style="37" bestFit="1" customWidth="1"/>
    <col min="14856" max="14856" width="29.85546875" style="37" bestFit="1" customWidth="1"/>
    <col min="14857" max="14857" width="11.7109375" style="37" bestFit="1" customWidth="1"/>
    <col min="14858" max="14858" width="29.85546875" style="37" bestFit="1" customWidth="1"/>
    <col min="14859" max="15104" width="9.140625" style="37"/>
    <col min="15105" max="15105" width="6.7109375" style="37" customWidth="1"/>
    <col min="15106" max="15106" width="29.42578125" style="37" bestFit="1" customWidth="1"/>
    <col min="15107" max="15110" width="0" style="37" hidden="1" customWidth="1"/>
    <col min="15111" max="15111" width="11.7109375" style="37" bestFit="1" customWidth="1"/>
    <col min="15112" max="15112" width="29.85546875" style="37" bestFit="1" customWidth="1"/>
    <col min="15113" max="15113" width="11.7109375" style="37" bestFit="1" customWidth="1"/>
    <col min="15114" max="15114" width="29.85546875" style="37" bestFit="1" customWidth="1"/>
    <col min="15115" max="15360" width="9.140625" style="37"/>
    <col min="15361" max="15361" width="6.7109375" style="37" customWidth="1"/>
    <col min="15362" max="15362" width="29.42578125" style="37" bestFit="1" customWidth="1"/>
    <col min="15363" max="15366" width="0" style="37" hidden="1" customWidth="1"/>
    <col min="15367" max="15367" width="11.7109375" style="37" bestFit="1" customWidth="1"/>
    <col min="15368" max="15368" width="29.85546875" style="37" bestFit="1" customWidth="1"/>
    <col min="15369" max="15369" width="11.7109375" style="37" bestFit="1" customWidth="1"/>
    <col min="15370" max="15370" width="29.85546875" style="37" bestFit="1" customWidth="1"/>
    <col min="15371" max="15616" width="9.140625" style="37"/>
    <col min="15617" max="15617" width="6.7109375" style="37" customWidth="1"/>
    <col min="15618" max="15618" width="29.42578125" style="37" bestFit="1" customWidth="1"/>
    <col min="15619" max="15622" width="0" style="37" hidden="1" customWidth="1"/>
    <col min="15623" max="15623" width="11.7109375" style="37" bestFit="1" customWidth="1"/>
    <col min="15624" max="15624" width="29.85546875" style="37" bestFit="1" customWidth="1"/>
    <col min="15625" max="15625" width="11.7109375" style="37" bestFit="1" customWidth="1"/>
    <col min="15626" max="15626" width="29.85546875" style="37" bestFit="1" customWidth="1"/>
    <col min="15627" max="15872" width="9.140625" style="37"/>
    <col min="15873" max="15873" width="6.7109375" style="37" customWidth="1"/>
    <col min="15874" max="15874" width="29.42578125" style="37" bestFit="1" customWidth="1"/>
    <col min="15875" max="15878" width="0" style="37" hidden="1" customWidth="1"/>
    <col min="15879" max="15879" width="11.7109375" style="37" bestFit="1" customWidth="1"/>
    <col min="15880" max="15880" width="29.85546875" style="37" bestFit="1" customWidth="1"/>
    <col min="15881" max="15881" width="11.7109375" style="37" bestFit="1" customWidth="1"/>
    <col min="15882" max="15882" width="29.85546875" style="37" bestFit="1" customWidth="1"/>
    <col min="15883" max="16128" width="9.140625" style="37"/>
    <col min="16129" max="16129" width="6.7109375" style="37" customWidth="1"/>
    <col min="16130" max="16130" width="29.42578125" style="37" bestFit="1" customWidth="1"/>
    <col min="16131" max="16134" width="0" style="37" hidden="1" customWidth="1"/>
    <col min="16135" max="16135" width="11.7109375" style="37" bestFit="1" customWidth="1"/>
    <col min="16136" max="16136" width="29.85546875" style="37" bestFit="1" customWidth="1"/>
    <col min="16137" max="16137" width="11.7109375" style="37" bestFit="1" customWidth="1"/>
    <col min="16138" max="16138" width="29.85546875" style="37" bestFit="1" customWidth="1"/>
    <col min="16139" max="16384" width="9.140625" style="37"/>
  </cols>
  <sheetData>
    <row r="1" spans="1:10" ht="15" x14ac:dyDescent="0.25">
      <c r="A1" s="19" t="s">
        <v>444</v>
      </c>
    </row>
    <row r="2" spans="1:10" ht="15.75" x14ac:dyDescent="0.25">
      <c r="A2" s="36" t="s">
        <v>419</v>
      </c>
    </row>
    <row r="4" spans="1:10" ht="13.5" thickBot="1" x14ac:dyDescent="0.25">
      <c r="A4" s="37" t="s">
        <v>420</v>
      </c>
    </row>
    <row r="5" spans="1:10" ht="13.5" thickBot="1" x14ac:dyDescent="0.25">
      <c r="B5" s="39" t="s">
        <v>422</v>
      </c>
      <c r="C5" s="412" t="s">
        <v>423</v>
      </c>
      <c r="D5" s="413"/>
      <c r="E5" s="413"/>
      <c r="F5" s="414"/>
      <c r="G5" s="415" t="s">
        <v>424</v>
      </c>
      <c r="H5" s="413"/>
      <c r="I5" s="413"/>
      <c r="J5" s="416"/>
    </row>
    <row r="6" spans="1:10" ht="13.5" thickBot="1" x14ac:dyDescent="0.25">
      <c r="A6" s="38" t="s">
        <v>421</v>
      </c>
      <c r="B6" s="39"/>
      <c r="C6" s="412" t="s">
        <v>425</v>
      </c>
      <c r="D6" s="414"/>
      <c r="E6" s="415" t="s">
        <v>426</v>
      </c>
      <c r="F6" s="413"/>
      <c r="G6" s="413"/>
      <c r="H6" s="414"/>
      <c r="I6" s="415" t="s">
        <v>427</v>
      </c>
      <c r="J6" s="416"/>
    </row>
    <row r="7" spans="1:10" ht="13.5" thickBot="1" x14ac:dyDescent="0.25">
      <c r="A7" s="38"/>
      <c r="B7" s="41"/>
      <c r="C7" s="40" t="s">
        <v>428</v>
      </c>
      <c r="D7" s="40" t="s">
        <v>429</v>
      </c>
      <c r="E7" s="40" t="s">
        <v>428</v>
      </c>
      <c r="F7" s="40" t="s">
        <v>429</v>
      </c>
      <c r="G7" s="40" t="s">
        <v>428</v>
      </c>
      <c r="H7" s="40" t="s">
        <v>429</v>
      </c>
      <c r="I7" s="40" t="s">
        <v>428</v>
      </c>
      <c r="J7" s="41" t="s">
        <v>429</v>
      </c>
    </row>
    <row r="8" spans="1:10" ht="13.5" thickBot="1" x14ac:dyDescent="0.25">
      <c r="A8" s="40"/>
      <c r="B8" s="43" t="s">
        <v>430</v>
      </c>
      <c r="C8" s="44"/>
      <c r="D8" s="44"/>
      <c r="E8" s="44">
        <v>660</v>
      </c>
      <c r="F8" s="45">
        <v>1793</v>
      </c>
      <c r="G8" s="44">
        <v>599</v>
      </c>
      <c r="H8" s="45">
        <v>1897</v>
      </c>
      <c r="I8" s="44">
        <v>538</v>
      </c>
      <c r="J8" s="45">
        <v>1841</v>
      </c>
    </row>
    <row r="9" spans="1:10" ht="13.5" thickBot="1" x14ac:dyDescent="0.25">
      <c r="A9" s="42" t="s">
        <v>290</v>
      </c>
      <c r="B9" s="43" t="s">
        <v>431</v>
      </c>
      <c r="C9" s="46"/>
      <c r="D9" s="46"/>
      <c r="E9" s="46">
        <v>1</v>
      </c>
      <c r="F9" s="47">
        <v>1933</v>
      </c>
      <c r="G9" s="46"/>
      <c r="H9" s="46"/>
      <c r="I9" s="46"/>
      <c r="J9" s="46"/>
    </row>
    <row r="10" spans="1:10" ht="13.5" thickBot="1" x14ac:dyDescent="0.25">
      <c r="A10" s="42" t="s">
        <v>290</v>
      </c>
      <c r="B10" s="43" t="s">
        <v>432</v>
      </c>
      <c r="C10" s="44"/>
      <c r="D10" s="44"/>
      <c r="E10" s="44">
        <v>165</v>
      </c>
      <c r="F10" s="44">
        <v>976</v>
      </c>
      <c r="G10" s="44">
        <v>184</v>
      </c>
      <c r="H10" s="44">
        <v>994</v>
      </c>
      <c r="I10" s="44">
        <v>158</v>
      </c>
      <c r="J10" s="45">
        <v>1689</v>
      </c>
    </row>
    <row r="11" spans="1:10" ht="13.5" thickBot="1" x14ac:dyDescent="0.25">
      <c r="A11" s="42" t="s">
        <v>290</v>
      </c>
      <c r="B11" s="43" t="s">
        <v>433</v>
      </c>
      <c r="C11" s="46"/>
      <c r="D11" s="46"/>
      <c r="E11" s="46">
        <v>88</v>
      </c>
      <c r="F11" s="47">
        <v>1188</v>
      </c>
      <c r="G11" s="46">
        <v>442</v>
      </c>
      <c r="H11" s="47">
        <v>2193</v>
      </c>
      <c r="I11" s="46">
        <v>541</v>
      </c>
      <c r="J11" s="47">
        <v>1829</v>
      </c>
    </row>
    <row r="12" spans="1:10" ht="13.5" thickBot="1" x14ac:dyDescent="0.25">
      <c r="A12" s="42" t="s">
        <v>290</v>
      </c>
      <c r="B12" s="43" t="s">
        <v>434</v>
      </c>
      <c r="C12" s="44"/>
      <c r="D12" s="44"/>
      <c r="E12" s="44">
        <v>9</v>
      </c>
      <c r="F12" s="44">
        <v>764</v>
      </c>
      <c r="G12" s="44"/>
      <c r="H12" s="44"/>
      <c r="I12" s="44"/>
      <c r="J12" s="44"/>
    </row>
    <row r="13" spans="1:10" ht="13.5" thickBot="1" x14ac:dyDescent="0.25">
      <c r="A13" s="42" t="s">
        <v>290</v>
      </c>
      <c r="B13" s="43" t="s">
        <v>435</v>
      </c>
      <c r="C13" s="46"/>
      <c r="D13" s="46"/>
      <c r="E13" s="46">
        <v>38</v>
      </c>
      <c r="F13" s="47">
        <v>1458</v>
      </c>
      <c r="G13" s="46"/>
      <c r="H13" s="46"/>
      <c r="I13" s="46"/>
      <c r="J13" s="46"/>
    </row>
    <row r="14" spans="1:10" ht="13.5" thickBot="1" x14ac:dyDescent="0.25">
      <c r="A14" s="42" t="s">
        <v>290</v>
      </c>
      <c r="B14" s="43" t="s">
        <v>436</v>
      </c>
      <c r="C14" s="44"/>
      <c r="D14" s="44"/>
      <c r="E14" s="44"/>
      <c r="F14" s="44"/>
      <c r="G14" s="44"/>
      <c r="H14" s="44"/>
      <c r="I14" s="44">
        <v>1</v>
      </c>
      <c r="J14" s="44">
        <v>496</v>
      </c>
    </row>
    <row r="15" spans="1:10" ht="13.5" thickBot="1" x14ac:dyDescent="0.25">
      <c r="A15" s="42" t="s">
        <v>290</v>
      </c>
      <c r="B15" s="43" t="s">
        <v>437</v>
      </c>
      <c r="C15" s="46"/>
      <c r="D15" s="46"/>
      <c r="E15" s="46">
        <v>8</v>
      </c>
      <c r="F15" s="47">
        <v>1284</v>
      </c>
      <c r="G15" s="46"/>
      <c r="H15" s="46"/>
      <c r="I15" s="46"/>
      <c r="J15" s="46"/>
    </row>
    <row r="16" spans="1:10" ht="13.5" thickBot="1" x14ac:dyDescent="0.25">
      <c r="A16" s="42" t="s">
        <v>290</v>
      </c>
      <c r="B16" s="43" t="s">
        <v>438</v>
      </c>
      <c r="C16" s="44"/>
      <c r="D16" s="44"/>
      <c r="E16" s="44">
        <v>4</v>
      </c>
      <c r="F16" s="45">
        <v>1333</v>
      </c>
      <c r="G16" s="44"/>
      <c r="H16" s="44"/>
      <c r="I16" s="44"/>
      <c r="J16" s="44"/>
    </row>
    <row r="17" spans="1:10" ht="13.5" thickBot="1" x14ac:dyDescent="0.25">
      <c r="A17" s="42" t="s">
        <v>290</v>
      </c>
      <c r="B17" s="43" t="s">
        <v>439</v>
      </c>
      <c r="C17" s="46"/>
      <c r="D17" s="46"/>
      <c r="E17" s="46">
        <v>7</v>
      </c>
      <c r="F17" s="47">
        <v>1125</v>
      </c>
      <c r="G17" s="46"/>
      <c r="H17" s="46"/>
      <c r="I17" s="46"/>
      <c r="J17" s="46"/>
    </row>
    <row r="18" spans="1:10" ht="13.5" thickBot="1" x14ac:dyDescent="0.25">
      <c r="A18" s="42" t="s">
        <v>290</v>
      </c>
      <c r="B18" s="43" t="s">
        <v>440</v>
      </c>
      <c r="C18" s="44"/>
      <c r="D18" s="44"/>
      <c r="E18" s="44">
        <v>1</v>
      </c>
      <c r="F18" s="44">
        <v>467</v>
      </c>
      <c r="G18" s="44"/>
      <c r="H18" s="44"/>
      <c r="I18" s="44"/>
      <c r="J18" s="44"/>
    </row>
    <row r="19" spans="1:10" ht="13.5" thickBot="1" x14ac:dyDescent="0.25">
      <c r="A19" s="42" t="s">
        <v>290</v>
      </c>
      <c r="B19" s="43" t="s">
        <v>176</v>
      </c>
      <c r="C19" s="46"/>
      <c r="D19" s="46"/>
      <c r="E19" s="46"/>
      <c r="F19" s="46"/>
      <c r="G19" s="46">
        <v>232</v>
      </c>
      <c r="H19" s="47">
        <v>7631</v>
      </c>
      <c r="I19" s="46">
        <v>212</v>
      </c>
      <c r="J19" s="47">
        <v>4288</v>
      </c>
    </row>
    <row r="20" spans="1:10" ht="13.5" thickBot="1" x14ac:dyDescent="0.25">
      <c r="A20" s="42" t="s">
        <v>290</v>
      </c>
      <c r="B20" s="43" t="s">
        <v>441</v>
      </c>
      <c r="C20" s="44"/>
      <c r="D20" s="44"/>
      <c r="E20" s="44">
        <v>26</v>
      </c>
      <c r="F20" s="45">
        <v>1498</v>
      </c>
      <c r="G20" s="44"/>
      <c r="H20" s="44"/>
      <c r="I20" s="44"/>
      <c r="J20" s="44"/>
    </row>
    <row r="21" spans="1:10" ht="13.5" thickBot="1" x14ac:dyDescent="0.25">
      <c r="A21" s="42" t="s">
        <v>290</v>
      </c>
      <c r="B21" s="43" t="s">
        <v>442</v>
      </c>
      <c r="C21" s="46"/>
      <c r="D21" s="46"/>
      <c r="E21" s="46">
        <v>8</v>
      </c>
      <c r="F21" s="46">
        <v>857</v>
      </c>
      <c r="G21" s="46"/>
      <c r="H21" s="46"/>
      <c r="I21" s="46"/>
      <c r="J21" s="46"/>
    </row>
    <row r="22" spans="1:10" ht="13.5" thickBot="1" x14ac:dyDescent="0.25">
      <c r="A22" s="42" t="s">
        <v>290</v>
      </c>
      <c r="B22" s="43" t="s">
        <v>443</v>
      </c>
      <c r="C22" s="44"/>
      <c r="D22" s="44"/>
      <c r="E22" s="44"/>
      <c r="F22" s="44"/>
      <c r="G22" s="44">
        <v>1</v>
      </c>
      <c r="H22" s="44">
        <v>946</v>
      </c>
      <c r="I22" s="44"/>
      <c r="J22" s="44"/>
    </row>
    <row r="23" spans="1:10" ht="13.5" thickBot="1" x14ac:dyDescent="0.25">
      <c r="A23" s="42" t="s">
        <v>290</v>
      </c>
      <c r="B23" s="46" t="s">
        <v>125</v>
      </c>
      <c r="C23" s="46"/>
      <c r="D23" s="46"/>
      <c r="E23" s="47">
        <v>1015</v>
      </c>
      <c r="F23" s="47">
        <v>1559</v>
      </c>
      <c r="G23" s="47">
        <v>1458</v>
      </c>
      <c r="H23" s="47">
        <v>2785</v>
      </c>
      <c r="I23" s="47">
        <v>1450</v>
      </c>
      <c r="J23" s="47">
        <v>2177</v>
      </c>
    </row>
    <row r="24" spans="1:10" ht="13.5" thickBot="1" x14ac:dyDescent="0.25">
      <c r="A24" s="48" t="s">
        <v>290</v>
      </c>
    </row>
  </sheetData>
  <mergeCells count="5">
    <mergeCell ref="C5:F5"/>
    <mergeCell ref="G5:J5"/>
    <mergeCell ref="C6:D6"/>
    <mergeCell ref="E6:H6"/>
    <mergeCell ref="I6:J6"/>
  </mergeCells>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4"/>
  <sheetViews>
    <sheetView workbookViewId="0">
      <selection activeCell="A3" sqref="A3"/>
    </sheetView>
  </sheetViews>
  <sheetFormatPr defaultRowHeight="12.75" x14ac:dyDescent="0.2"/>
  <cols>
    <col min="1" max="16384" width="9.140625" style="37"/>
  </cols>
  <sheetData>
    <row r="1" spans="1:1" ht="15" x14ac:dyDescent="0.25">
      <c r="A1" s="19" t="s">
        <v>444</v>
      </c>
    </row>
    <row r="2" spans="1:1" ht="15.75" x14ac:dyDescent="0.25">
      <c r="A2" s="36" t="s">
        <v>417</v>
      </c>
    </row>
    <row r="4" spans="1:1" x14ac:dyDescent="0.2">
      <c r="A4" s="37" t="s">
        <v>418</v>
      </c>
    </row>
  </sheetData>
  <pageMargins left="0.75" right="0.75" top="1" bottom="1" header="0" footer="0"/>
  <headerFooter alignWithMargins="0"/>
  <drawing r:id="rId1"/>
  <legacyDrawing r:id="rId2"/>
  <oleObjects>
    <mc:AlternateContent xmlns:mc="http://schemas.openxmlformats.org/markup-compatibility/2006">
      <mc:Choice Requires="x14">
        <oleObject progId="Excel.Sheet.8" shapeId="6145" r:id="rId3">
          <objectPr defaultSize="0" autoPict="0" r:id="rId4">
            <anchor moveWithCells="1" sizeWithCells="1">
              <from>
                <xdr:col>0</xdr:col>
                <xdr:colOff>0</xdr:colOff>
                <xdr:row>6</xdr:row>
                <xdr:rowOff>0</xdr:rowOff>
              </from>
              <to>
                <xdr:col>9</xdr:col>
                <xdr:colOff>219075</xdr:colOff>
                <xdr:row>40</xdr:row>
                <xdr:rowOff>28575</xdr:rowOff>
              </to>
            </anchor>
          </objectPr>
        </oleObject>
      </mc:Choice>
      <mc:Fallback>
        <oleObject progId="Excel.Sheet.8" shapeId="6145" r:id="rId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32.28515625" bestFit="1" customWidth="1"/>
    <col min="2" max="2" width="6.140625" bestFit="1" customWidth="1"/>
    <col min="3" max="3" width="10.28515625" bestFit="1" customWidth="1"/>
    <col min="257" max="257" width="32.28515625" bestFit="1" customWidth="1"/>
    <col min="258" max="258" width="6.140625" bestFit="1" customWidth="1"/>
    <col min="259" max="259" width="10.28515625" bestFit="1" customWidth="1"/>
    <col min="513" max="513" width="32.28515625" bestFit="1" customWidth="1"/>
    <col min="514" max="514" width="6.140625" bestFit="1" customWidth="1"/>
    <col min="515" max="515" width="10.28515625" bestFit="1" customWidth="1"/>
    <col min="769" max="769" width="32.28515625" bestFit="1" customWidth="1"/>
    <col min="770" max="770" width="6.140625" bestFit="1" customWidth="1"/>
    <col min="771" max="771" width="10.28515625" bestFit="1" customWidth="1"/>
    <col min="1025" max="1025" width="32.28515625" bestFit="1" customWidth="1"/>
    <col min="1026" max="1026" width="6.140625" bestFit="1" customWidth="1"/>
    <col min="1027" max="1027" width="10.28515625" bestFit="1" customWidth="1"/>
    <col min="1281" max="1281" width="32.28515625" bestFit="1" customWidth="1"/>
    <col min="1282" max="1282" width="6.140625" bestFit="1" customWidth="1"/>
    <col min="1283" max="1283" width="10.28515625" bestFit="1" customWidth="1"/>
    <col min="1537" max="1537" width="32.28515625" bestFit="1" customWidth="1"/>
    <col min="1538" max="1538" width="6.140625" bestFit="1" customWidth="1"/>
    <col min="1539" max="1539" width="10.28515625" bestFit="1" customWidth="1"/>
    <col min="1793" max="1793" width="32.28515625" bestFit="1" customWidth="1"/>
    <col min="1794" max="1794" width="6.140625" bestFit="1" customWidth="1"/>
    <col min="1795" max="1795" width="10.28515625" bestFit="1" customWidth="1"/>
    <col min="2049" max="2049" width="32.28515625" bestFit="1" customWidth="1"/>
    <col min="2050" max="2050" width="6.140625" bestFit="1" customWidth="1"/>
    <col min="2051" max="2051" width="10.28515625" bestFit="1" customWidth="1"/>
    <col min="2305" max="2305" width="32.28515625" bestFit="1" customWidth="1"/>
    <col min="2306" max="2306" width="6.140625" bestFit="1" customWidth="1"/>
    <col min="2307" max="2307" width="10.28515625" bestFit="1" customWidth="1"/>
    <col min="2561" max="2561" width="32.28515625" bestFit="1" customWidth="1"/>
    <col min="2562" max="2562" width="6.140625" bestFit="1" customWidth="1"/>
    <col min="2563" max="2563" width="10.28515625" bestFit="1" customWidth="1"/>
    <col min="2817" max="2817" width="32.28515625" bestFit="1" customWidth="1"/>
    <col min="2818" max="2818" width="6.140625" bestFit="1" customWidth="1"/>
    <col min="2819" max="2819" width="10.28515625" bestFit="1" customWidth="1"/>
    <col min="3073" max="3073" width="32.28515625" bestFit="1" customWidth="1"/>
    <col min="3074" max="3074" width="6.140625" bestFit="1" customWidth="1"/>
    <col min="3075" max="3075" width="10.28515625" bestFit="1" customWidth="1"/>
    <col min="3329" max="3329" width="32.28515625" bestFit="1" customWidth="1"/>
    <col min="3330" max="3330" width="6.140625" bestFit="1" customWidth="1"/>
    <col min="3331" max="3331" width="10.28515625" bestFit="1" customWidth="1"/>
    <col min="3585" max="3585" width="32.28515625" bestFit="1" customWidth="1"/>
    <col min="3586" max="3586" width="6.140625" bestFit="1" customWidth="1"/>
    <col min="3587" max="3587" width="10.28515625" bestFit="1" customWidth="1"/>
    <col min="3841" max="3841" width="32.28515625" bestFit="1" customWidth="1"/>
    <col min="3842" max="3842" width="6.140625" bestFit="1" customWidth="1"/>
    <col min="3843" max="3843" width="10.28515625" bestFit="1" customWidth="1"/>
    <col min="4097" max="4097" width="32.28515625" bestFit="1" customWidth="1"/>
    <col min="4098" max="4098" width="6.140625" bestFit="1" customWidth="1"/>
    <col min="4099" max="4099" width="10.28515625" bestFit="1" customWidth="1"/>
    <col min="4353" max="4353" width="32.28515625" bestFit="1" customWidth="1"/>
    <col min="4354" max="4354" width="6.140625" bestFit="1" customWidth="1"/>
    <col min="4355" max="4355" width="10.28515625" bestFit="1" customWidth="1"/>
    <col min="4609" max="4609" width="32.28515625" bestFit="1" customWidth="1"/>
    <col min="4610" max="4610" width="6.140625" bestFit="1" customWidth="1"/>
    <col min="4611" max="4611" width="10.28515625" bestFit="1" customWidth="1"/>
    <col min="4865" max="4865" width="32.28515625" bestFit="1" customWidth="1"/>
    <col min="4866" max="4866" width="6.140625" bestFit="1" customWidth="1"/>
    <col min="4867" max="4867" width="10.28515625" bestFit="1" customWidth="1"/>
    <col min="5121" max="5121" width="32.28515625" bestFit="1" customWidth="1"/>
    <col min="5122" max="5122" width="6.140625" bestFit="1" customWidth="1"/>
    <col min="5123" max="5123" width="10.28515625" bestFit="1" customWidth="1"/>
    <col min="5377" max="5377" width="32.28515625" bestFit="1" customWidth="1"/>
    <col min="5378" max="5378" width="6.140625" bestFit="1" customWidth="1"/>
    <col min="5379" max="5379" width="10.28515625" bestFit="1" customWidth="1"/>
    <col min="5633" max="5633" width="32.28515625" bestFit="1" customWidth="1"/>
    <col min="5634" max="5634" width="6.140625" bestFit="1" customWidth="1"/>
    <col min="5635" max="5635" width="10.28515625" bestFit="1" customWidth="1"/>
    <col min="5889" max="5889" width="32.28515625" bestFit="1" customWidth="1"/>
    <col min="5890" max="5890" width="6.140625" bestFit="1" customWidth="1"/>
    <col min="5891" max="5891" width="10.28515625" bestFit="1" customWidth="1"/>
    <col min="6145" max="6145" width="32.28515625" bestFit="1" customWidth="1"/>
    <col min="6146" max="6146" width="6.140625" bestFit="1" customWidth="1"/>
    <col min="6147" max="6147" width="10.28515625" bestFit="1" customWidth="1"/>
    <col min="6401" max="6401" width="32.28515625" bestFit="1" customWidth="1"/>
    <col min="6402" max="6402" width="6.140625" bestFit="1" customWidth="1"/>
    <col min="6403" max="6403" width="10.28515625" bestFit="1" customWidth="1"/>
    <col min="6657" max="6657" width="32.28515625" bestFit="1" customWidth="1"/>
    <col min="6658" max="6658" width="6.140625" bestFit="1" customWidth="1"/>
    <col min="6659" max="6659" width="10.28515625" bestFit="1" customWidth="1"/>
    <col min="6913" max="6913" width="32.28515625" bestFit="1" customWidth="1"/>
    <col min="6914" max="6914" width="6.140625" bestFit="1" customWidth="1"/>
    <col min="6915" max="6915" width="10.28515625" bestFit="1" customWidth="1"/>
    <col min="7169" max="7169" width="32.28515625" bestFit="1" customWidth="1"/>
    <col min="7170" max="7170" width="6.140625" bestFit="1" customWidth="1"/>
    <col min="7171" max="7171" width="10.28515625" bestFit="1" customWidth="1"/>
    <col min="7425" max="7425" width="32.28515625" bestFit="1" customWidth="1"/>
    <col min="7426" max="7426" width="6.140625" bestFit="1" customWidth="1"/>
    <col min="7427" max="7427" width="10.28515625" bestFit="1" customWidth="1"/>
    <col min="7681" max="7681" width="32.28515625" bestFit="1" customWidth="1"/>
    <col min="7682" max="7682" width="6.140625" bestFit="1" customWidth="1"/>
    <col min="7683" max="7683" width="10.28515625" bestFit="1" customWidth="1"/>
    <col min="7937" max="7937" width="32.28515625" bestFit="1" customWidth="1"/>
    <col min="7938" max="7938" width="6.140625" bestFit="1" customWidth="1"/>
    <col min="7939" max="7939" width="10.28515625" bestFit="1" customWidth="1"/>
    <col min="8193" max="8193" width="32.28515625" bestFit="1" customWidth="1"/>
    <col min="8194" max="8194" width="6.140625" bestFit="1" customWidth="1"/>
    <col min="8195" max="8195" width="10.28515625" bestFit="1" customWidth="1"/>
    <col min="8449" max="8449" width="32.28515625" bestFit="1" customWidth="1"/>
    <col min="8450" max="8450" width="6.140625" bestFit="1" customWidth="1"/>
    <col min="8451" max="8451" width="10.28515625" bestFit="1" customWidth="1"/>
    <col min="8705" max="8705" width="32.28515625" bestFit="1" customWidth="1"/>
    <col min="8706" max="8706" width="6.140625" bestFit="1" customWidth="1"/>
    <col min="8707" max="8707" width="10.28515625" bestFit="1" customWidth="1"/>
    <col min="8961" max="8961" width="32.28515625" bestFit="1" customWidth="1"/>
    <col min="8962" max="8962" width="6.140625" bestFit="1" customWidth="1"/>
    <col min="8963" max="8963" width="10.28515625" bestFit="1" customWidth="1"/>
    <col min="9217" max="9217" width="32.28515625" bestFit="1" customWidth="1"/>
    <col min="9218" max="9218" width="6.140625" bestFit="1" customWidth="1"/>
    <col min="9219" max="9219" width="10.28515625" bestFit="1" customWidth="1"/>
    <col min="9473" max="9473" width="32.28515625" bestFit="1" customWidth="1"/>
    <col min="9474" max="9474" width="6.140625" bestFit="1" customWidth="1"/>
    <col min="9475" max="9475" width="10.28515625" bestFit="1" customWidth="1"/>
    <col min="9729" max="9729" width="32.28515625" bestFit="1" customWidth="1"/>
    <col min="9730" max="9730" width="6.140625" bestFit="1" customWidth="1"/>
    <col min="9731" max="9731" width="10.28515625" bestFit="1" customWidth="1"/>
    <col min="9985" max="9985" width="32.28515625" bestFit="1" customWidth="1"/>
    <col min="9986" max="9986" width="6.140625" bestFit="1" customWidth="1"/>
    <col min="9987" max="9987" width="10.28515625" bestFit="1" customWidth="1"/>
    <col min="10241" max="10241" width="32.28515625" bestFit="1" customWidth="1"/>
    <col min="10242" max="10242" width="6.140625" bestFit="1" customWidth="1"/>
    <col min="10243" max="10243" width="10.28515625" bestFit="1" customWidth="1"/>
    <col min="10497" max="10497" width="32.28515625" bestFit="1" customWidth="1"/>
    <col min="10498" max="10498" width="6.140625" bestFit="1" customWidth="1"/>
    <col min="10499" max="10499" width="10.28515625" bestFit="1" customWidth="1"/>
    <col min="10753" max="10753" width="32.28515625" bestFit="1" customWidth="1"/>
    <col min="10754" max="10754" width="6.140625" bestFit="1" customWidth="1"/>
    <col min="10755" max="10755" width="10.28515625" bestFit="1" customWidth="1"/>
    <col min="11009" max="11009" width="32.28515625" bestFit="1" customWidth="1"/>
    <col min="11010" max="11010" width="6.140625" bestFit="1" customWidth="1"/>
    <col min="11011" max="11011" width="10.28515625" bestFit="1" customWidth="1"/>
    <col min="11265" max="11265" width="32.28515625" bestFit="1" customWidth="1"/>
    <col min="11266" max="11266" width="6.140625" bestFit="1" customWidth="1"/>
    <col min="11267" max="11267" width="10.28515625" bestFit="1" customWidth="1"/>
    <col min="11521" max="11521" width="32.28515625" bestFit="1" customWidth="1"/>
    <col min="11522" max="11522" width="6.140625" bestFit="1" customWidth="1"/>
    <col min="11523" max="11523" width="10.28515625" bestFit="1" customWidth="1"/>
    <col min="11777" max="11777" width="32.28515625" bestFit="1" customWidth="1"/>
    <col min="11778" max="11778" width="6.140625" bestFit="1" customWidth="1"/>
    <col min="11779" max="11779" width="10.28515625" bestFit="1" customWidth="1"/>
    <col min="12033" max="12033" width="32.28515625" bestFit="1" customWidth="1"/>
    <col min="12034" max="12034" width="6.140625" bestFit="1" customWidth="1"/>
    <col min="12035" max="12035" width="10.28515625" bestFit="1" customWidth="1"/>
    <col min="12289" max="12289" width="32.28515625" bestFit="1" customWidth="1"/>
    <col min="12290" max="12290" width="6.140625" bestFit="1" customWidth="1"/>
    <col min="12291" max="12291" width="10.28515625" bestFit="1" customWidth="1"/>
    <col min="12545" max="12545" width="32.28515625" bestFit="1" customWidth="1"/>
    <col min="12546" max="12546" width="6.140625" bestFit="1" customWidth="1"/>
    <col min="12547" max="12547" width="10.28515625" bestFit="1" customWidth="1"/>
    <col min="12801" max="12801" width="32.28515625" bestFit="1" customWidth="1"/>
    <col min="12802" max="12802" width="6.140625" bestFit="1" customWidth="1"/>
    <col min="12803" max="12803" width="10.28515625" bestFit="1" customWidth="1"/>
    <col min="13057" max="13057" width="32.28515625" bestFit="1" customWidth="1"/>
    <col min="13058" max="13058" width="6.140625" bestFit="1" customWidth="1"/>
    <col min="13059" max="13059" width="10.28515625" bestFit="1" customWidth="1"/>
    <col min="13313" max="13313" width="32.28515625" bestFit="1" customWidth="1"/>
    <col min="13314" max="13314" width="6.140625" bestFit="1" customWidth="1"/>
    <col min="13315" max="13315" width="10.28515625" bestFit="1" customWidth="1"/>
    <col min="13569" max="13569" width="32.28515625" bestFit="1" customWidth="1"/>
    <col min="13570" max="13570" width="6.140625" bestFit="1" customWidth="1"/>
    <col min="13571" max="13571" width="10.28515625" bestFit="1" customWidth="1"/>
    <col min="13825" max="13825" width="32.28515625" bestFit="1" customWidth="1"/>
    <col min="13826" max="13826" width="6.140625" bestFit="1" customWidth="1"/>
    <col min="13827" max="13827" width="10.28515625" bestFit="1" customWidth="1"/>
    <col min="14081" max="14081" width="32.28515625" bestFit="1" customWidth="1"/>
    <col min="14082" max="14082" width="6.140625" bestFit="1" customWidth="1"/>
    <col min="14083" max="14083" width="10.28515625" bestFit="1" customWidth="1"/>
    <col min="14337" max="14337" width="32.28515625" bestFit="1" customWidth="1"/>
    <col min="14338" max="14338" width="6.140625" bestFit="1" customWidth="1"/>
    <col min="14339" max="14339" width="10.28515625" bestFit="1" customWidth="1"/>
    <col min="14593" max="14593" width="32.28515625" bestFit="1" customWidth="1"/>
    <col min="14594" max="14594" width="6.140625" bestFit="1" customWidth="1"/>
    <col min="14595" max="14595" width="10.28515625" bestFit="1" customWidth="1"/>
    <col min="14849" max="14849" width="32.28515625" bestFit="1" customWidth="1"/>
    <col min="14850" max="14850" width="6.140625" bestFit="1" customWidth="1"/>
    <col min="14851" max="14851" width="10.28515625" bestFit="1" customWidth="1"/>
    <col min="15105" max="15105" width="32.28515625" bestFit="1" customWidth="1"/>
    <col min="15106" max="15106" width="6.140625" bestFit="1" customWidth="1"/>
    <col min="15107" max="15107" width="10.28515625" bestFit="1" customWidth="1"/>
    <col min="15361" max="15361" width="32.28515625" bestFit="1" customWidth="1"/>
    <col min="15362" max="15362" width="6.140625" bestFit="1" customWidth="1"/>
    <col min="15363" max="15363" width="10.28515625" bestFit="1" customWidth="1"/>
    <col min="15617" max="15617" width="32.28515625" bestFit="1" customWidth="1"/>
    <col min="15618" max="15618" width="6.140625" bestFit="1" customWidth="1"/>
    <col min="15619" max="15619" width="10.28515625" bestFit="1" customWidth="1"/>
    <col min="15873" max="15873" width="32.28515625" bestFit="1" customWidth="1"/>
    <col min="15874" max="15874" width="6.140625" bestFit="1" customWidth="1"/>
    <col min="15875" max="15875" width="10.28515625" bestFit="1" customWidth="1"/>
    <col min="16129" max="16129" width="32.28515625" bestFit="1" customWidth="1"/>
    <col min="16130" max="16130" width="6.140625" bestFit="1" customWidth="1"/>
    <col min="16131" max="16131" width="10.28515625" bestFit="1" customWidth="1"/>
  </cols>
  <sheetData>
    <row r="1" spans="1:3" x14ac:dyDescent="0.25">
      <c r="A1" t="s">
        <v>633</v>
      </c>
    </row>
    <row r="2" spans="1:3" ht="45" x14ac:dyDescent="0.25">
      <c r="A2" s="3" t="s">
        <v>590</v>
      </c>
    </row>
    <row r="3" spans="1:3" ht="15.75" thickBot="1" x14ac:dyDescent="0.3"/>
    <row r="4" spans="1:3" ht="15.75" thickBot="1" x14ac:dyDescent="0.3">
      <c r="A4" s="53" t="s">
        <v>592</v>
      </c>
      <c r="B4" s="55" t="s">
        <v>593</v>
      </c>
      <c r="C4" s="55" t="s">
        <v>594</v>
      </c>
    </row>
    <row r="5" spans="1:3" ht="15.75" thickBot="1" x14ac:dyDescent="0.3">
      <c r="A5" s="54"/>
      <c r="B5" s="57">
        <v>8</v>
      </c>
      <c r="C5" s="58">
        <v>3682</v>
      </c>
    </row>
    <row r="6" spans="1:3" ht="15.75" thickBot="1" x14ac:dyDescent="0.3">
      <c r="A6" s="56" t="s">
        <v>595</v>
      </c>
      <c r="B6" s="57">
        <v>16</v>
      </c>
      <c r="C6" s="58">
        <v>10471</v>
      </c>
    </row>
    <row r="7" spans="1:3" ht="15.75" thickBot="1" x14ac:dyDescent="0.3">
      <c r="A7" s="56" t="s">
        <v>596</v>
      </c>
      <c r="B7" s="57">
        <v>16</v>
      </c>
      <c r="C7" s="58">
        <v>13326</v>
      </c>
    </row>
    <row r="8" spans="1:3" ht="15.75" thickBot="1" x14ac:dyDescent="0.3">
      <c r="A8" s="56" t="s">
        <v>597</v>
      </c>
      <c r="B8" s="57">
        <v>24</v>
      </c>
      <c r="C8" s="58">
        <v>7145</v>
      </c>
    </row>
    <row r="9" spans="1:3" ht="15.75" thickBot="1" x14ac:dyDescent="0.3">
      <c r="A9" s="56" t="s">
        <v>391</v>
      </c>
      <c r="B9" s="57">
        <v>3</v>
      </c>
      <c r="C9" s="59">
        <v>1282</v>
      </c>
    </row>
    <row r="10" spans="1:3" ht="15.75" thickBot="1" x14ac:dyDescent="0.3">
      <c r="A10" s="56" t="s">
        <v>598</v>
      </c>
      <c r="C10" s="60">
        <f>SUM(C5:C9)</f>
        <v>35906</v>
      </c>
    </row>
    <row r="11" spans="1:3" x14ac:dyDescent="0.25">
      <c r="A11" s="53"/>
    </row>
    <row r="15" spans="1:3" x14ac:dyDescent="0.25">
      <c r="A15" t="s">
        <v>599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41</vt:i4>
      </vt:variant>
      <vt:variant>
        <vt:lpstr>Navngivne områder</vt:lpstr>
      </vt:variant>
      <vt:variant>
        <vt:i4>2</vt:i4>
      </vt:variant>
    </vt:vector>
  </HeadingPairs>
  <TitlesOfParts>
    <vt:vector size="43" baseType="lpstr">
      <vt:lpstr>Generelt</vt:lpstr>
      <vt:lpstr>DAGS</vt:lpstr>
      <vt:lpstr>DRG</vt:lpstr>
      <vt:lpstr>DRG0556</vt:lpstr>
      <vt:lpstr>DRG0559</vt:lpstr>
      <vt:lpstr>Bilag 0853</vt:lpstr>
      <vt:lpstr>PG10L</vt:lpstr>
      <vt:lpstr>PG13Q</vt:lpstr>
      <vt:lpstr>Trombvagt</vt:lpstr>
      <vt:lpstr>omkostningsoplysn. MDC05</vt:lpstr>
      <vt:lpstr>Øvrig drift MDC05 </vt:lpstr>
      <vt:lpstr>Stor MWL</vt:lpstr>
      <vt:lpstr>Lille MWL</vt:lpstr>
      <vt:lpstr>vaskulariserede lapper</vt:lpstr>
      <vt:lpstr>Aktivitet2013</vt:lpstr>
      <vt:lpstr>Basis jordemoderkons</vt:lpstr>
      <vt:lpstr>Udvidet jordemoderkons</vt:lpstr>
      <vt:lpstr>Akut jdm</vt:lpstr>
      <vt:lpstr>DRG0913</vt:lpstr>
      <vt:lpstr>DRG2628</vt:lpstr>
      <vt:lpstr>DRG2629</vt:lpstr>
      <vt:lpstr>DRG1116</vt:lpstr>
      <vt:lpstr>DRG1701</vt:lpstr>
      <vt:lpstr>DRG2501</vt:lpstr>
      <vt:lpstr>DRG2502</vt:lpstr>
      <vt:lpstr>DRG2605</vt:lpstr>
      <vt:lpstr>DRG2609</vt:lpstr>
      <vt:lpstr>DRG2644</vt:lpstr>
      <vt:lpstr>DRG2645</vt:lpstr>
      <vt:lpstr>DRG2701-2715</vt:lpstr>
      <vt:lpstr>DRG2302</vt:lpstr>
      <vt:lpstr>DAGS ST01B</vt:lpstr>
      <vt:lpstr>Robottakster</vt:lpstr>
      <vt:lpstr>DAGS PG13M</vt:lpstr>
      <vt:lpstr>DRG 1101</vt:lpstr>
      <vt:lpstr>DAGS DG30S</vt:lpstr>
      <vt:lpstr>tandbehandling</vt:lpstr>
      <vt:lpstr>DRG0113</vt:lpstr>
      <vt:lpstr>DRG0876</vt:lpstr>
      <vt:lpstr>DRG 2656</vt:lpstr>
      <vt:lpstr>DRG 2657</vt:lpstr>
      <vt:lpstr>DAGS!Udskriftstitler</vt:lpstr>
      <vt:lpstr>DRG!Udskriftstitler</vt:lpstr>
    </vt:vector>
  </TitlesOfParts>
  <Company>Statens Serum Institut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Annsofie Kocemba</cp:lastModifiedBy>
  <cp:lastPrinted>2014-06-05T14:53:32Z</cp:lastPrinted>
  <dcterms:created xsi:type="dcterms:W3CDTF">2014-05-22T07:11:27Z</dcterms:created>
  <dcterms:modified xsi:type="dcterms:W3CDTF">2014-07-01T12:46:53Z</dcterms:modified>
</cp:coreProperties>
</file>